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/>
  <xr:revisionPtr revIDLastSave="0" documentId="8_{A4C009B5-0C3E-4083-B6C7-18FE6214829C}" xr6:coauthVersionLast="47" xr6:coauthVersionMax="47" xr10:uidLastSave="{00000000-0000-0000-0000-000000000000}"/>
  <bookViews>
    <workbookView xWindow="-110" yWindow="-110" windowWidth="22780" windowHeight="14540" activeTab="5" xr2:uid="{00000000-000D-0000-FFFF-FFFF00000000}"/>
  </bookViews>
  <sheets>
    <sheet name="Change Log" sheetId="13" r:id="rId1"/>
    <sheet name="Inputs &gt;" sheetId="8" r:id="rId2"/>
    <sheet name="Data" sheetId="1" r:id="rId3"/>
    <sheet name="RPI" sheetId="12" r:id="rId4"/>
    <sheet name="Calcs &gt;" sheetId="9" r:id="rId5"/>
    <sheet name="WRFIM - Water" sheetId="5" r:id="rId6"/>
    <sheet name="WRFIM - Waste" sheetId="6" r:id="rId7"/>
    <sheet name="Output &gt;" sheetId="10" r:id="rId8"/>
    <sheet name="WFRIM adjustments" sheetId="7" r:id="rId9"/>
    <sheet name="Other &gt;" sheetId="11" r:id="rId10"/>
    <sheet name="Timeline" sheetId="3" r:id="rId11"/>
  </sheets>
  <definedNames>
    <definedName name="Additional.Analysis">Data!$G$22</definedName>
    <definedName name="Adj.AllRev.Waste">'WRFIM - Waste'!$I$38:$U$38</definedName>
    <definedName name="Adj.AllRev.Water">'WRFIM - Water'!$I$38:$U$38</definedName>
    <definedName name="AllRev.Outturn.Waste">'WRFIM - Waste'!$I$15:$U$15</definedName>
    <definedName name="AllRev.Outturn.Water">'WRFIM - Water'!$I$15:$U$15</definedName>
    <definedName name="AllRev.Waste">Data!$I$28:$U$28</definedName>
    <definedName name="AllRev.Water">Data!$I$27:$U$27</definedName>
    <definedName name="AMP.Years">Timeline!$I$3:$U$3</definedName>
    <definedName name="AMP5.RCM.Adj.Waste">'WRFIM - Waste'!$K$19</definedName>
    <definedName name="AMP5.RCM.Adj.Water">'WRFIM - Water'!$K$19</definedName>
    <definedName name="AMP6.FI.Adj.Waste">'WRFIM - Waste'!$I$32:$U$32</definedName>
    <definedName name="AMP6.FI.Adj.Water">'WRFIM - Water'!$I$32:$U$32</definedName>
    <definedName name="Baseline.AllRev.Waste">'WRFIM - Waste'!$I$39:$U$39</definedName>
    <definedName name="Baseline.AllRev.Water">'WRFIM - Water'!$I$39:$U$39</definedName>
    <definedName name="BlindYear.1415.Adj.Waste">Data!$K$43</definedName>
    <definedName name="BlindYear.1415.Adj.Water">Data!$K$42</definedName>
    <definedName name="BlindYear.Delay">Data!#REF!</definedName>
    <definedName name="Calendar.Years">Timeline!$I$5:$U$5</definedName>
    <definedName name="Discount.Rate">Data!$G$20</definedName>
    <definedName name="Indexation.Average">RPI!$I$56:$U$56</definedName>
    <definedName name="Indexation.Average.Override">RPI!$I$55:$U$55</definedName>
    <definedName name="Indexation.Check">RPI!$I$26:$U$26</definedName>
    <definedName name="Indexation.November">RPI!$I$45:$U$45</definedName>
    <definedName name="Indexation.November.Actual">RPI!$I$49:$U$49</definedName>
    <definedName name="Indexation.November.Actual.Override">RPI!$I$48:$U$48</definedName>
    <definedName name="Indexation.November.Actual.YearOnYear">RPI!$I$51:$U$51</definedName>
    <definedName name="Indexation.November.Override">RPI!$I$44:$U$44</definedName>
    <definedName name="Inflation.Yearly.Average">RPI!$I$58:$U$58</definedName>
    <definedName name="K.Waste">Data!$I$32:$U$32</definedName>
    <definedName name="K.Water">Data!$I$31:$U$31</definedName>
    <definedName name="Penalty.Rate.General">Data!$G$19</definedName>
    <definedName name="Penalty.Rate.Waste">'WRFIM - Waste'!#REF!</definedName>
    <definedName name="Penalty.Rate.Water">'WRFIM - Water'!#REF!</definedName>
    <definedName name="Perc.Recovered.Waste">'WRFIM - Waste'!$I$44:$U$44</definedName>
    <definedName name="Perc.Recovered.Water">'WRFIM - Water'!$I$44:$U$44</definedName>
    <definedName name="_xlnm.Print_Area" localSheetId="3">RPI!$A$1:$V$58</definedName>
    <definedName name="_xlnm.Print_Area" localSheetId="6">'WRFIM - Waste'!$D$1:$R$85</definedName>
    <definedName name="_xlnm.Print_Area" localSheetId="5">'WRFIM - Water'!$D$1:$R$85</definedName>
    <definedName name="RCM.BlindYear.Adj.Waste">'WRFIM - Waste'!$I$23:$U$23</definedName>
    <definedName name="RCM.BlindYear.Adj.Water">'WRFIM - Water'!$I$23:$U$23</definedName>
    <definedName name="RecRev.Waste">Data!$I$37:$U$37</definedName>
    <definedName name="RecRev.Water">Data!$I$36:$U$36</definedName>
    <definedName name="Threshold.Max">Data!$G$17</definedName>
    <definedName name="Threshold.Min">Data!$G$16</definedName>
    <definedName name="WRFIM.Waste">'WRFIM - Waste'!$P$84</definedName>
    <definedName name="WRFIM.Water">'WRFIM - Water'!$P$84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6" l="1"/>
  <c r="E82" i="5"/>
  <c r="E36" i="5" l="1"/>
  <c r="E34" i="5"/>
  <c r="P36" i="5" l="1"/>
  <c r="O34" i="5"/>
  <c r="P36" i="6"/>
  <c r="O34" i="6"/>
  <c r="E36" i="6"/>
  <c r="E34" i="6"/>
  <c r="H33" i="6" l="1"/>
  <c r="G33" i="6"/>
  <c r="E33" i="6"/>
  <c r="D33" i="6"/>
  <c r="H33" i="5"/>
  <c r="G33" i="5"/>
  <c r="D33" i="5"/>
  <c r="E33" i="5"/>
  <c r="Q44" i="1"/>
  <c r="E21" i="6"/>
  <c r="N21" i="6"/>
  <c r="E21" i="5"/>
  <c r="P21" i="5"/>
  <c r="O21" i="5"/>
  <c r="N21" i="5"/>
  <c r="P21" i="6"/>
  <c r="O21" i="6"/>
  <c r="Q45" i="1"/>
  <c r="K15" i="6"/>
  <c r="K15" i="5"/>
  <c r="L12" i="5"/>
  <c r="L12" i="6"/>
  <c r="P12" i="6"/>
  <c r="O12" i="6"/>
  <c r="N12" i="6"/>
  <c r="M12" i="6"/>
  <c r="P12" i="5"/>
  <c r="O12" i="5"/>
  <c r="N12" i="5"/>
  <c r="M12" i="5"/>
  <c r="M32" i="5"/>
  <c r="L32" i="5"/>
  <c r="M32" i="6"/>
  <c r="L32" i="6"/>
  <c r="P41" i="6"/>
  <c r="O41" i="6"/>
  <c r="N41" i="6"/>
  <c r="M41" i="6"/>
  <c r="L41" i="6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I29" i="12"/>
  <c r="J29" i="12"/>
  <c r="K29" i="12"/>
  <c r="L29" i="12"/>
  <c r="M29" i="12"/>
  <c r="I30" i="12"/>
  <c r="J30" i="12"/>
  <c r="K30" i="12"/>
  <c r="L30" i="12"/>
  <c r="M30" i="12"/>
  <c r="N30" i="12"/>
  <c r="O30" i="12" s="1"/>
  <c r="P30" i="12" s="1"/>
  <c r="Q30" i="12" s="1"/>
  <c r="R30" i="12" s="1"/>
  <c r="S30" i="12" s="1"/>
  <c r="T30" i="12" s="1"/>
  <c r="U30" i="12" s="1"/>
  <c r="I31" i="12"/>
  <c r="J31" i="12"/>
  <c r="K31" i="12"/>
  <c r="L31" i="12"/>
  <c r="M31" i="12"/>
  <c r="N31" i="12" s="1"/>
  <c r="O31" i="12" s="1"/>
  <c r="P31" i="12" s="1"/>
  <c r="Q31" i="12" s="1"/>
  <c r="R31" i="12" s="1"/>
  <c r="S31" i="12" s="1"/>
  <c r="T31" i="12" s="1"/>
  <c r="U31" i="12" s="1"/>
  <c r="I32" i="12"/>
  <c r="J32" i="12"/>
  <c r="K32" i="12"/>
  <c r="L32" i="12"/>
  <c r="M32" i="12"/>
  <c r="N32" i="12" s="1"/>
  <c r="I33" i="12"/>
  <c r="J33" i="12"/>
  <c r="K33" i="12"/>
  <c r="L33" i="12"/>
  <c r="M33" i="12"/>
  <c r="N33" i="12" s="1"/>
  <c r="O33" i="12" s="1"/>
  <c r="P33" i="12" s="1"/>
  <c r="Q33" i="12" s="1"/>
  <c r="R33" i="12" s="1"/>
  <c r="S33" i="12" s="1"/>
  <c r="T33" i="12" s="1"/>
  <c r="U33" i="12" s="1"/>
  <c r="I34" i="12"/>
  <c r="J34" i="12"/>
  <c r="K34" i="12"/>
  <c r="L34" i="12"/>
  <c r="M34" i="12"/>
  <c r="N34" i="12" s="1"/>
  <c r="O34" i="12" s="1"/>
  <c r="P34" i="12" s="1"/>
  <c r="Q34" i="12" s="1"/>
  <c r="R34" i="12" s="1"/>
  <c r="S34" i="12" s="1"/>
  <c r="T34" i="12" s="1"/>
  <c r="U34" i="12" s="1"/>
  <c r="I35" i="12"/>
  <c r="J35" i="12"/>
  <c r="K35" i="12"/>
  <c r="L35" i="12"/>
  <c r="M35" i="12"/>
  <c r="N35" i="12" s="1"/>
  <c r="O35" i="12" s="1"/>
  <c r="P35" i="12" s="1"/>
  <c r="Q35" i="12" s="1"/>
  <c r="R35" i="12" s="1"/>
  <c r="S35" i="12" s="1"/>
  <c r="T35" i="12" s="1"/>
  <c r="U35" i="12" s="1"/>
  <c r="H36" i="12"/>
  <c r="I37" i="12"/>
  <c r="J37" i="12"/>
  <c r="K37" i="12"/>
  <c r="L37" i="12"/>
  <c r="M37" i="12"/>
  <c r="N37" i="12" s="1"/>
  <c r="O37" i="12" s="1"/>
  <c r="P37" i="12" s="1"/>
  <c r="Q37" i="12" s="1"/>
  <c r="R37" i="12" s="1"/>
  <c r="S37" i="12" s="1"/>
  <c r="T37" i="12" s="1"/>
  <c r="U37" i="12" s="1"/>
  <c r="I38" i="12"/>
  <c r="J38" i="12"/>
  <c r="K38" i="12"/>
  <c r="L38" i="12"/>
  <c r="M38" i="12"/>
  <c r="N38" i="12" s="1"/>
  <c r="O38" i="12" s="1"/>
  <c r="P38" i="12" s="1"/>
  <c r="Q38" i="12" s="1"/>
  <c r="R38" i="12" s="1"/>
  <c r="S38" i="12" s="1"/>
  <c r="T38" i="12" s="1"/>
  <c r="U38" i="12" s="1"/>
  <c r="I39" i="12"/>
  <c r="J39" i="12"/>
  <c r="K39" i="12"/>
  <c r="L39" i="12"/>
  <c r="M39" i="12"/>
  <c r="N39" i="12" s="1"/>
  <c r="O39" i="12" s="1"/>
  <c r="P39" i="12" s="1"/>
  <c r="Q39" i="12" s="1"/>
  <c r="R39" i="12" s="1"/>
  <c r="S39" i="12" s="1"/>
  <c r="T39" i="12" s="1"/>
  <c r="U39" i="12" s="1"/>
  <c r="I40" i="12"/>
  <c r="J40" i="12"/>
  <c r="K40" i="12"/>
  <c r="L40" i="12"/>
  <c r="M40" i="12"/>
  <c r="N40" i="12" s="1"/>
  <c r="O40" i="12" s="1"/>
  <c r="P40" i="12" s="1"/>
  <c r="Q40" i="12" s="1"/>
  <c r="R40" i="12" s="1"/>
  <c r="S40" i="12" s="1"/>
  <c r="T40" i="12" s="1"/>
  <c r="U40" i="12" s="1"/>
  <c r="I36" i="12"/>
  <c r="N29" i="12"/>
  <c r="O29" i="12" s="1"/>
  <c r="P29" i="12" s="1"/>
  <c r="J36" i="12"/>
  <c r="K36" i="12"/>
  <c r="L36" i="12"/>
  <c r="M36" i="12"/>
  <c r="K19" i="6"/>
  <c r="K20" i="6" s="1"/>
  <c r="L20" i="6" s="1"/>
  <c r="M20" i="6" s="1"/>
  <c r="N20" i="6" s="1"/>
  <c r="K19" i="5"/>
  <c r="K20" i="5" s="1"/>
  <c r="J5" i="7"/>
  <c r="K5" i="7"/>
  <c r="L5" i="7"/>
  <c r="M5" i="7"/>
  <c r="N5" i="7"/>
  <c r="O5" i="7"/>
  <c r="P5" i="7"/>
  <c r="Q5" i="7"/>
  <c r="R5" i="7"/>
  <c r="S5" i="7"/>
  <c r="T5" i="7"/>
  <c r="U5" i="7"/>
  <c r="I5" i="7"/>
  <c r="J3" i="7"/>
  <c r="K3" i="7"/>
  <c r="L3" i="7"/>
  <c r="M3" i="7"/>
  <c r="N3" i="7"/>
  <c r="O3" i="7"/>
  <c r="P3" i="7"/>
  <c r="Q3" i="7"/>
  <c r="R3" i="7"/>
  <c r="S3" i="7"/>
  <c r="T3" i="7"/>
  <c r="U3" i="7"/>
  <c r="I3" i="7"/>
  <c r="U5" i="6"/>
  <c r="T5" i="6"/>
  <c r="S5" i="6"/>
  <c r="R5" i="6"/>
  <c r="Q5" i="6"/>
  <c r="P5" i="6"/>
  <c r="O5" i="6"/>
  <c r="N5" i="6"/>
  <c r="M5" i="6"/>
  <c r="L5" i="6"/>
  <c r="K5" i="6"/>
  <c r="J5" i="6"/>
  <c r="I5" i="6"/>
  <c r="U3" i="6"/>
  <c r="T3" i="6"/>
  <c r="S3" i="6"/>
  <c r="R3" i="6"/>
  <c r="Q3" i="6"/>
  <c r="P3" i="6"/>
  <c r="O3" i="6"/>
  <c r="N3" i="6"/>
  <c r="M3" i="6"/>
  <c r="L3" i="6"/>
  <c r="K3" i="6"/>
  <c r="J3" i="6"/>
  <c r="I3" i="6"/>
  <c r="L41" i="5"/>
  <c r="M41" i="5"/>
  <c r="N41" i="5"/>
  <c r="O41" i="5"/>
  <c r="P41" i="5"/>
  <c r="S3" i="1"/>
  <c r="T3" i="1"/>
  <c r="U3" i="1"/>
  <c r="S5" i="1"/>
  <c r="T5" i="1"/>
  <c r="U5" i="1"/>
  <c r="T3" i="5"/>
  <c r="U3" i="5"/>
  <c r="T5" i="5"/>
  <c r="U5" i="5"/>
  <c r="S5" i="5"/>
  <c r="R5" i="5"/>
  <c r="Q5" i="5"/>
  <c r="P5" i="5"/>
  <c r="O5" i="5"/>
  <c r="N5" i="5"/>
  <c r="M5" i="5"/>
  <c r="L5" i="5"/>
  <c r="K5" i="5"/>
  <c r="J5" i="5"/>
  <c r="I5" i="5"/>
  <c r="S3" i="5"/>
  <c r="R3" i="5"/>
  <c r="Q3" i="5"/>
  <c r="P3" i="5"/>
  <c r="O3" i="5"/>
  <c r="N3" i="5"/>
  <c r="M3" i="5"/>
  <c r="L3" i="5"/>
  <c r="K3" i="5"/>
  <c r="J3" i="5"/>
  <c r="I3" i="5"/>
  <c r="R5" i="1"/>
  <c r="Q5" i="1"/>
  <c r="P5" i="1"/>
  <c r="O5" i="1"/>
  <c r="N5" i="1"/>
  <c r="M5" i="1"/>
  <c r="L5" i="1"/>
  <c r="J5" i="1"/>
  <c r="I5" i="1"/>
  <c r="K5" i="1"/>
  <c r="R3" i="1"/>
  <c r="Q3" i="1"/>
  <c r="P3" i="1"/>
  <c r="O3" i="1"/>
  <c r="N3" i="1"/>
  <c r="M3" i="1"/>
  <c r="L3" i="1"/>
  <c r="K3" i="1"/>
  <c r="J3" i="1"/>
  <c r="I3" i="1"/>
  <c r="L20" i="5" l="1"/>
  <c r="M20" i="5" s="1"/>
  <c r="N20" i="5" s="1"/>
  <c r="P25" i="5"/>
  <c r="P25" i="6"/>
  <c r="L51" i="12"/>
  <c r="L13" i="6" s="1"/>
  <c r="L14" i="6" s="1"/>
  <c r="L15" i="6" s="1"/>
  <c r="L38" i="6" s="1"/>
  <c r="K51" i="12"/>
  <c r="J51" i="12"/>
  <c r="O20" i="6"/>
  <c r="P20" i="6" s="1"/>
  <c r="N22" i="6"/>
  <c r="J49" i="12"/>
  <c r="N49" i="12"/>
  <c r="K49" i="12"/>
  <c r="I49" i="12"/>
  <c r="L49" i="12"/>
  <c r="M49" i="12"/>
  <c r="I41" i="12"/>
  <c r="M51" i="12"/>
  <c r="N51" i="12"/>
  <c r="Q29" i="12"/>
  <c r="K41" i="12"/>
  <c r="L41" i="12"/>
  <c r="M41" i="12"/>
  <c r="O32" i="12"/>
  <c r="J41" i="12"/>
  <c r="N36" i="12"/>
  <c r="O49" i="12" s="1"/>
  <c r="N22" i="5" l="1"/>
  <c r="N23" i="5" s="1"/>
  <c r="O20" i="5"/>
  <c r="P22" i="6"/>
  <c r="P26" i="6"/>
  <c r="P27" i="6" s="1"/>
  <c r="L13" i="5"/>
  <c r="L14" i="5" s="1"/>
  <c r="L15" i="5" s="1"/>
  <c r="O22" i="6"/>
  <c r="O23" i="6" s="1"/>
  <c r="N23" i="6"/>
  <c r="O36" i="12"/>
  <c r="P49" i="12" s="1"/>
  <c r="O22" i="5"/>
  <c r="O23" i="5" s="1"/>
  <c r="P20" i="5"/>
  <c r="P26" i="5" s="1"/>
  <c r="P27" i="5" s="1"/>
  <c r="N13" i="6"/>
  <c r="N14" i="6" s="1"/>
  <c r="N13" i="5"/>
  <c r="N14" i="5" s="1"/>
  <c r="M13" i="5"/>
  <c r="M14" i="5" s="1"/>
  <c r="M13" i="6"/>
  <c r="M14" i="6" s="1"/>
  <c r="M15" i="6" s="1"/>
  <c r="M38" i="6" s="1"/>
  <c r="O51" i="12"/>
  <c r="N41" i="12"/>
  <c r="L37" i="6"/>
  <c r="P32" i="12"/>
  <c r="R29" i="12"/>
  <c r="P28" i="6" l="1"/>
  <c r="P82" i="6" s="1"/>
  <c r="P22" i="5"/>
  <c r="P28" i="5"/>
  <c r="P82" i="5" s="1"/>
  <c r="L37" i="5"/>
  <c r="L38" i="5"/>
  <c r="L43" i="6"/>
  <c r="L47" i="6" s="1"/>
  <c r="L48" i="6" s="1"/>
  <c r="M15" i="5"/>
  <c r="O41" i="12"/>
  <c r="P51" i="12"/>
  <c r="N15" i="6"/>
  <c r="M37" i="6"/>
  <c r="Q32" i="12"/>
  <c r="S29" i="12"/>
  <c r="O13" i="5"/>
  <c r="O14" i="5" s="1"/>
  <c r="O13" i="6"/>
  <c r="O14" i="6" s="1"/>
  <c r="P23" i="6"/>
  <c r="P36" i="12"/>
  <c r="Q49" i="12" s="1"/>
  <c r="L39" i="5" l="1"/>
  <c r="L52" i="5" s="1"/>
  <c r="L53" i="5" s="1"/>
  <c r="L54" i="5" s="1"/>
  <c r="L56" i="5" s="1"/>
  <c r="L57" i="5" s="1"/>
  <c r="L58" i="5" s="1"/>
  <c r="N59" i="5" s="1"/>
  <c r="N63" i="5" s="1"/>
  <c r="P13" i="5"/>
  <c r="P14" i="5" s="1"/>
  <c r="P35" i="5"/>
  <c r="P35" i="6"/>
  <c r="M37" i="5"/>
  <c r="L39" i="6"/>
  <c r="L52" i="6" s="1"/>
  <c r="L53" i="6" s="1"/>
  <c r="L54" i="6" s="1"/>
  <c r="L56" i="6" s="1"/>
  <c r="L57" i="6" s="1"/>
  <c r="L58" i="6" s="1"/>
  <c r="N59" i="6" s="1"/>
  <c r="N63" i="6" s="1"/>
  <c r="N15" i="5"/>
  <c r="O15" i="5" s="1"/>
  <c r="M38" i="5"/>
  <c r="M43" i="5" s="1"/>
  <c r="M47" i="5" s="1"/>
  <c r="M48" i="5" s="1"/>
  <c r="L43" i="5"/>
  <c r="L47" i="5" s="1"/>
  <c r="L48" i="5" s="1"/>
  <c r="P13" i="6"/>
  <c r="P14" i="6" s="1"/>
  <c r="M43" i="6"/>
  <c r="M47" i="6" s="1"/>
  <c r="M48" i="6" s="1"/>
  <c r="Q51" i="12"/>
  <c r="N49" i="6"/>
  <c r="N62" i="6" s="1"/>
  <c r="Q36" i="12"/>
  <c r="R49" i="12" s="1"/>
  <c r="L44" i="5"/>
  <c r="L67" i="5" s="1"/>
  <c r="P41" i="12"/>
  <c r="T29" i="12"/>
  <c r="R32" i="12"/>
  <c r="P23" i="5"/>
  <c r="L44" i="6"/>
  <c r="L67" i="6" s="1"/>
  <c r="N37" i="6"/>
  <c r="O15" i="6"/>
  <c r="N32" i="5" l="1"/>
  <c r="N38" i="5" s="1"/>
  <c r="N37" i="5"/>
  <c r="M39" i="5"/>
  <c r="M52" i="5" s="1"/>
  <c r="M53" i="5" s="1"/>
  <c r="M54" i="5" s="1"/>
  <c r="M56" i="5" s="1"/>
  <c r="M57" i="5" s="1"/>
  <c r="M58" i="5" s="1"/>
  <c r="O59" i="5" s="1"/>
  <c r="O63" i="5" s="1"/>
  <c r="N32" i="6"/>
  <c r="N38" i="6" s="1"/>
  <c r="N43" i="6" s="1"/>
  <c r="N47" i="6" s="1"/>
  <c r="N48" i="6" s="1"/>
  <c r="N64" i="6"/>
  <c r="N49" i="5"/>
  <c r="N62" i="5" s="1"/>
  <c r="N64" i="5" s="1"/>
  <c r="M39" i="6"/>
  <c r="M52" i="6" s="1"/>
  <c r="M53" i="6" s="1"/>
  <c r="M54" i="6" s="1"/>
  <c r="M56" i="6" s="1"/>
  <c r="M57" i="6" s="1"/>
  <c r="M58" i="6" s="1"/>
  <c r="O59" i="6" s="1"/>
  <c r="O63" i="6" s="1"/>
  <c r="Q41" i="12"/>
  <c r="R51" i="12"/>
  <c r="M44" i="6"/>
  <c r="M67" i="6" s="1"/>
  <c r="M44" i="5"/>
  <c r="M67" i="5" s="1"/>
  <c r="P15" i="6"/>
  <c r="O37" i="6"/>
  <c r="P15" i="5"/>
  <c r="O37" i="5"/>
  <c r="S32" i="12"/>
  <c r="O49" i="5"/>
  <c r="O62" i="5" s="1"/>
  <c r="O64" i="5" s="1"/>
  <c r="U29" i="12"/>
  <c r="R36" i="12"/>
  <c r="S49" i="12" s="1"/>
  <c r="N39" i="6"/>
  <c r="N52" i="6" s="1"/>
  <c r="N53" i="6" s="1"/>
  <c r="N54" i="6" s="1"/>
  <c r="N56" i="6" s="1"/>
  <c r="N57" i="6" s="1"/>
  <c r="N58" i="6" s="1"/>
  <c r="P59" i="6" s="1"/>
  <c r="P63" i="6" s="1"/>
  <c r="O49" i="6"/>
  <c r="O62" i="6" s="1"/>
  <c r="N43" i="5" l="1"/>
  <c r="N47" i="5" s="1"/>
  <c r="N48" i="5" s="1"/>
  <c r="P49" i="5" s="1"/>
  <c r="P62" i="5" s="1"/>
  <c r="N39" i="5"/>
  <c r="N52" i="5" s="1"/>
  <c r="N53" i="5" s="1"/>
  <c r="N54" i="5" s="1"/>
  <c r="N56" i="5" s="1"/>
  <c r="N57" i="5" s="1"/>
  <c r="N58" i="5" s="1"/>
  <c r="P59" i="5" s="1"/>
  <c r="P63" i="5" s="1"/>
  <c r="O32" i="5"/>
  <c r="O38" i="5" s="1"/>
  <c r="O43" i="5" s="1"/>
  <c r="P72" i="5" s="1"/>
  <c r="O64" i="6"/>
  <c r="O32" i="6"/>
  <c r="O38" i="6" s="1"/>
  <c r="O39" i="6" s="1"/>
  <c r="O52" i="6" s="1"/>
  <c r="O53" i="6" s="1"/>
  <c r="O54" i="6" s="1"/>
  <c r="O56" i="6" s="1"/>
  <c r="P73" i="6" s="1"/>
  <c r="P49" i="6"/>
  <c r="P62" i="6" s="1"/>
  <c r="P64" i="6" s="1"/>
  <c r="P32" i="6"/>
  <c r="P38" i="6" s="1"/>
  <c r="T32" i="12"/>
  <c r="S36" i="12"/>
  <c r="T49" i="12" s="1"/>
  <c r="R41" i="12"/>
  <c r="P37" i="5"/>
  <c r="S51" i="12"/>
  <c r="N44" i="6"/>
  <c r="N67" i="6" s="1"/>
  <c r="P37" i="6"/>
  <c r="P64" i="5" l="1"/>
  <c r="N44" i="5"/>
  <c r="N67" i="5" s="1"/>
  <c r="P32" i="5"/>
  <c r="O43" i="6"/>
  <c r="P72" i="6" s="1"/>
  <c r="P38" i="5"/>
  <c r="P43" i="5" s="1"/>
  <c r="P77" i="5" s="1"/>
  <c r="O39" i="5"/>
  <c r="O52" i="5" s="1"/>
  <c r="O53" i="5" s="1"/>
  <c r="O54" i="5" s="1"/>
  <c r="O56" i="5" s="1"/>
  <c r="P73" i="5" s="1"/>
  <c r="P74" i="5" s="1"/>
  <c r="O44" i="5"/>
  <c r="O67" i="5" s="1"/>
  <c r="P43" i="6"/>
  <c r="P77" i="6" s="1"/>
  <c r="P39" i="6"/>
  <c r="P52" i="6" s="1"/>
  <c r="P53" i="6" s="1"/>
  <c r="P54" i="6" s="1"/>
  <c r="P56" i="6" s="1"/>
  <c r="P78" i="6" s="1"/>
  <c r="P44" i="6"/>
  <c r="P67" i="6" s="1"/>
  <c r="T36" i="12"/>
  <c r="S41" i="12"/>
  <c r="U32" i="12"/>
  <c r="O44" i="6"/>
  <c r="O67" i="6" s="1"/>
  <c r="T51" i="12"/>
  <c r="P74" i="6"/>
  <c r="P39" i="5" l="1"/>
  <c r="P52" i="5" s="1"/>
  <c r="P53" i="5" s="1"/>
  <c r="P54" i="5" s="1"/>
  <c r="P56" i="5" s="1"/>
  <c r="P78" i="5" s="1"/>
  <c r="P79" i="5" s="1"/>
  <c r="P84" i="5" s="1"/>
  <c r="P44" i="5"/>
  <c r="P67" i="5" s="1"/>
  <c r="U51" i="12"/>
  <c r="U49" i="12"/>
  <c r="U36" i="12"/>
  <c r="U41" i="12" s="1"/>
  <c r="T41" i="12"/>
  <c r="P79" i="6"/>
  <c r="P84" i="6" s="1"/>
  <c r="P12" i="7" l="1"/>
  <c r="P10" i="7"/>
</calcChain>
</file>

<file path=xl/sharedStrings.xml><?xml version="1.0" encoding="utf-8"?>
<sst xmlns="http://schemas.openxmlformats.org/spreadsheetml/2006/main" count="596" uniqueCount="256">
  <si>
    <t>Change log</t>
  </si>
  <si>
    <t>#</t>
  </si>
  <si>
    <t>Issue</t>
  </si>
  <si>
    <t>Change</t>
  </si>
  <si>
    <t>Sheet</t>
  </si>
  <si>
    <t>Row</t>
  </si>
  <si>
    <t xml:space="preserve">Company noted that the Ofwat excel model ‘Data sheet’ sheet rows 27 and 28 requires the allowed revenue for water and wastewater to be entered at 2012-13 price base. If this is taken from the wholesale allowed revenue shown in the FD company-specific appendix, e.g. water Table A2.10 final row, the re-pricing applied in the Ofwat excel spreadsheet will not generate the correct allowed revenue to be used as the basis for companies’ price setting. </t>
  </si>
  <si>
    <t>Example updated to use allowed revenue per FD company letter and applying the licence approach of Rt=Rt-1 * 1+(RPI+Kt)/100</t>
  </si>
  <si>
    <t>WFRIM - Water
WFRIM - Waste</t>
  </si>
  <si>
    <t>13 &amp; 20</t>
  </si>
  <si>
    <t>Company pointed out an issue in implementation of RPI compounding from t-2 to t. WRFIM-water tab cell L39 (and hence N41) inflates cell L30 by applying the RPI movement from 2012-13 to 2016-17 and then 2012-13 to 2017-18 prices. As cell L30 is already at 2015-16 prices, the indexation applied should be from 2015-16 to 2016-17 and then from 2016-17 to 2017-18 prices. Similar indexing issues will apply in future years and also in the WRFIM wastewater tab.</t>
  </si>
  <si>
    <t>Updated to use a Nov-Nov year on year RPI series, removing the issue that stemmed from the compound index series.</t>
  </si>
  <si>
    <t>39 &amp; 49</t>
  </si>
  <si>
    <t>Company requested that the WRFIM penalty components be split into two components (indexation and penalty) for transparency. They also pointed out a typo in the RPI used for uplift in the illustrative example.</t>
  </si>
  <si>
    <t>New WFRIM formula clearly distinguishes the penalty and the revenue deltas. Implementation of the formula has been performed such that the indexation is applied separately for transparency.</t>
  </si>
  <si>
    <t>Rows 23 onwards</t>
  </si>
  <si>
    <t>Two companies noted there is a possible unintended consequence in the application of the WRFIM formula which applies penalties for both under and over-recovery of revenues. They noted that where there is an under-recovery of revenues in one year they cannot subsequently over-recover to compensate for this due to the constraints of their licence which forms a cap on revenue.</t>
  </si>
  <si>
    <t>New WFRIM formula seeks to address this.</t>
  </si>
  <si>
    <t>Wrong year referenced in WRIFM water worksheet. Allowed Revenue from FD for 2015/16 incorrectly references 2014/15</t>
  </si>
  <si>
    <t>Formula in cell L28 amended to reference L15.</t>
  </si>
  <si>
    <t>WRIFM - Water</t>
  </si>
  <si>
    <t>L28</t>
  </si>
  <si>
    <t xml:space="preserve">Formatting of Cells L27 and L28 on Data worksheet incorrect. </t>
  </si>
  <si>
    <t>K27 and K28 formatted as input cells. L27 and L28 formatted as blank cells.</t>
  </si>
  <si>
    <t>Data</t>
  </si>
  <si>
    <t>L28,L27, K27, K28</t>
  </si>
  <si>
    <t>Financing costs incorrectly applied to year 4 penalty</t>
  </si>
  <si>
    <t>Financing costs removed from formulae</t>
  </si>
  <si>
    <t>WRFIM - Water
WRFIM - Waste</t>
  </si>
  <si>
    <t>P64</t>
  </si>
  <si>
    <t>Ability to spread RCM adjustment to smooth impact on customers</t>
  </si>
  <si>
    <t>Added functionality to take RCM adjustments over 1,2, 3 or more years</t>
  </si>
  <si>
    <t xml:space="preserve">Data
WRFIM - Water
WRFIM - Waste
</t>
  </si>
  <si>
    <t>Data row 44 and 45
WRFIM Water and Waste rows 20-22</t>
  </si>
  <si>
    <t>Model does not take into account potential penalties incurred in year 4 and year 5</t>
  </si>
  <si>
    <t>Copy formulae in WRIFM - Water and WRIFM - Waste N48 into O48 and P48</t>
  </si>
  <si>
    <t>N48 and P48</t>
  </si>
  <si>
    <t>Inflation of RCM element of WRFIM changed from year average to Nov-Nov movements</t>
  </si>
  <si>
    <t>Change inflation uplift from year cumulative year average (Indexation.Average) to Cumulative November (Indexation.November.Actual)</t>
  </si>
  <si>
    <t>Row 23</t>
  </si>
  <si>
    <t>Model modified to work for companies who accept licence modification</t>
  </si>
  <si>
    <t>True/False flag added to data worksheet. When 'True' AR* is defined as AR (Formula changes from min of rows 29 to 30 to equal row 30).</t>
  </si>
  <si>
    <t>WRFIM - Water
WRFIM - Waste
Data</t>
  </si>
  <si>
    <t>Row 31 WRFIM sheets
Data row 12</t>
  </si>
  <si>
    <t>Line description</t>
  </si>
  <si>
    <t>E24 description aligned with business plan table App23</t>
  </si>
  <si>
    <t>RPI</t>
  </si>
  <si>
    <t>E24</t>
  </si>
  <si>
    <t>Incorrect cell references</t>
  </si>
  <si>
    <t>Rows 49 and 51 changed to reference row 36</t>
  </si>
  <si>
    <t>Row 49 and 51</t>
  </si>
  <si>
    <t>Redundant lines</t>
  </si>
  <si>
    <t>Rows 43-45, 54-56 and 58</t>
  </si>
  <si>
    <t>Display formatting of cells incorrect</t>
  </si>
  <si>
    <t>K27, K28, rows 36, 37 and 42 to 45 formatted to display correct decimal places</t>
  </si>
  <si>
    <t>K27, K28, rows 36, 37, 42 to K43</t>
  </si>
  <si>
    <t>WRFIM inputs</t>
  </si>
  <si>
    <t>Year</t>
  </si>
  <si>
    <t>Calendar year</t>
  </si>
  <si>
    <t>Year number</t>
  </si>
  <si>
    <t>Model inputs</t>
  </si>
  <si>
    <t>Text</t>
  </si>
  <si>
    <t>Company Name</t>
  </si>
  <si>
    <t>Company Type</t>
  </si>
  <si>
    <t>True/False</t>
  </si>
  <si>
    <t>Company has accepted WRFIM licence modification</t>
  </si>
  <si>
    <t>WRFIM Parameters</t>
  </si>
  <si>
    <t>Penalty rate scaling</t>
  </si>
  <si>
    <t>% 2dp</t>
  </si>
  <si>
    <t>Minimum threshold (+/-)</t>
  </si>
  <si>
    <t>Threshold.Min</t>
  </si>
  <si>
    <t>Maximum threshold (+/-)</t>
  </si>
  <si>
    <t>Threshold.Max</t>
  </si>
  <si>
    <t>Penalty rate (+/-)</t>
  </si>
  <si>
    <t>Penalty.Rate.General</t>
  </si>
  <si>
    <t>Specified discount rate</t>
  </si>
  <si>
    <t>Discount.Rate</t>
  </si>
  <si>
    <t>Threshold for additional variance analyses (+/-)</t>
  </si>
  <si>
    <t>Additional.Analysis</t>
  </si>
  <si>
    <t>Revenue</t>
  </si>
  <si>
    <t>Allowed revenue</t>
  </si>
  <si>
    <t>£m 3dp</t>
  </si>
  <si>
    <t>Allowed revenue - water</t>
  </si>
  <si>
    <t>14/15 price base</t>
  </si>
  <si>
    <t>AllRev.Water</t>
  </si>
  <si>
    <t>Allowed revenue - wastewater</t>
  </si>
  <si>
    <t>AllRev.Waste</t>
  </si>
  <si>
    <t>K</t>
  </si>
  <si>
    <t>Nr</t>
  </si>
  <si>
    <t>K - water</t>
  </si>
  <si>
    <t>K.Water</t>
  </si>
  <si>
    <t>K - waste</t>
  </si>
  <si>
    <t>K.Waste</t>
  </si>
  <si>
    <t>Recovered revenue</t>
  </si>
  <si>
    <t>To be completed at the end of PR14&gt;&gt;</t>
  </si>
  <si>
    <t>Recovered revenue - water</t>
  </si>
  <si>
    <t>Outturn price base</t>
  </si>
  <si>
    <t>RecRev.Water</t>
  </si>
  <si>
    <t>Recovered revenue - wastewater</t>
  </si>
  <si>
    <t>RecRev.Waste</t>
  </si>
  <si>
    <t>Blind year adjustments</t>
  </si>
  <si>
    <t>RCM adjustment</t>
  </si>
  <si>
    <t>Blind year adjustment 14/15 - water</t>
  </si>
  <si>
    <t>12/13 price base</t>
  </si>
  <si>
    <t>BlindYear.1415.Adj.Water</t>
  </si>
  <si>
    <t>Blind year adjustment 14/15 - waste</t>
  </si>
  <si>
    <t>BlindYear.1415.Adj.Waste</t>
  </si>
  <si>
    <t>% 1dp</t>
  </si>
  <si>
    <t>Percentage of blind year adjustment by year - water</t>
  </si>
  <si>
    <t>All values must be &gt;=0; sum of values must be &lt;=1.</t>
  </si>
  <si>
    <t>Percentage of blind year adjustment by year - waste</t>
  </si>
  <si>
    <t>End</t>
  </si>
  <si>
    <t>Retail Price Index</t>
  </si>
  <si>
    <t>2011-12</t>
  </si>
  <si>
    <t>Actual Year</t>
  </si>
  <si>
    <t/>
  </si>
  <si>
    <t>Actual RPI</t>
  </si>
  <si>
    <t>Nr 1dp</t>
  </si>
  <si>
    <t>RPI: April - index</t>
  </si>
  <si>
    <t>RPI: May - index</t>
  </si>
  <si>
    <t>RPI: June - index</t>
  </si>
  <si>
    <t>RPI: July - index</t>
  </si>
  <si>
    <t>RPI: August - index</t>
  </si>
  <si>
    <t>RPI: September- index</t>
  </si>
  <si>
    <t>RPI: October - index</t>
  </si>
  <si>
    <t>RPI: November - index</t>
  </si>
  <si>
    <t>RPI: December - index</t>
  </si>
  <si>
    <t>RPI: January - index</t>
  </si>
  <si>
    <t>RPI: February - index</t>
  </si>
  <si>
    <t>RPI: March - index</t>
  </si>
  <si>
    <t>% 4dp</t>
  </si>
  <si>
    <t>Completeness check</t>
  </si>
  <si>
    <t>Indexation.Check</t>
  </si>
  <si>
    <t>Series of actual and forecast RPI</t>
  </si>
  <si>
    <t>RPI: Financial year average - index</t>
  </si>
  <si>
    <t>%</t>
  </si>
  <si>
    <t>Override</t>
  </si>
  <si>
    <t>Calculated (including override)</t>
  </si>
  <si>
    <t>Actual RPI: Basket year - cumulative % increase from 2012/13 basket value</t>
  </si>
  <si>
    <t>Indexation.November.Actual.Override</t>
  </si>
  <si>
    <t>Indexation.November.Actual</t>
  </si>
  <si>
    <t>Actual RPI: Nov - Nov % increase</t>
  </si>
  <si>
    <t>Indexation.November.Actual.YearOnYear</t>
  </si>
  <si>
    <t>WRFIM calculations - water</t>
  </si>
  <si>
    <t>1 WRFIM calculation</t>
  </si>
  <si>
    <t>Calculate an adjusted allowed revenue using penalty and/or blind-year adjustment</t>
  </si>
  <si>
    <t>Allowed Revenue</t>
  </si>
  <si>
    <t>Actual Nov-Nov RPI</t>
  </si>
  <si>
    <t>1 + (RPI + Kt )/100</t>
  </si>
  <si>
    <t>Allowed Revenue (Outturn price base)</t>
  </si>
  <si>
    <t>AllRev.Outturn.Water</t>
  </si>
  <si>
    <t>Convert blind year to outturn price base and apply in 2016</t>
  </si>
  <si>
    <t>Blind year adjustment</t>
  </si>
  <si>
    <t>AMP5 RCM adjustment</t>
  </si>
  <si>
    <t>AMP5.RCM.Adj.Water</t>
  </si>
  <si>
    <t>AMP5 RCM adjustment including financing rate adjustment</t>
  </si>
  <si>
    <t>Percentage</t>
  </si>
  <si>
    <t>AMP5 RCM blind year adjustment (12/13 price base)</t>
  </si>
  <si>
    <t>AMP5 RCM blind year adjustment (Outturn price base)</t>
  </si>
  <si>
    <t>RCM.BlindYear.Adj.Water</t>
  </si>
  <si>
    <t>Adjust allowed revenue by RFIM adjustment</t>
  </si>
  <si>
    <t>Determine the main revenue over /  under recovery</t>
  </si>
  <si>
    <t>AMP6 forecasting incentive adjustment including over / under recovery true up</t>
  </si>
  <si>
    <t>AMP6.FI.Adj.Water</t>
  </si>
  <si>
    <t>Allowed Revenue from FD</t>
  </si>
  <si>
    <t>Adjusted Allowed Revenue (AR)</t>
  </si>
  <si>
    <t>Adj.AllRev.Water</t>
  </si>
  <si>
    <t>Baseline revenue for calculation of penalties (AR*)</t>
  </si>
  <si>
    <t>Baseline.AllRev.Water</t>
  </si>
  <si>
    <t>Revenue Recovered (RR)</t>
  </si>
  <si>
    <t>Over (+) / Under (-) recovery versus adjusted allowed revenue</t>
  </si>
  <si>
    <t>% (under) / over recovered versus adjusted allowed revenue</t>
  </si>
  <si>
    <t>Perc.Recovered.Water</t>
  </si>
  <si>
    <t>Main revenue adjustment</t>
  </si>
  <si>
    <t>Main revenue adjustment - with financing adjustment</t>
  </si>
  <si>
    <t>Main revenue adjustment - with financing adjustment &amp; 2 year lag of inflation</t>
  </si>
  <si>
    <t>Outturn price base plus 2 years</t>
  </si>
  <si>
    <t>Main revenue adjustment - as incurred</t>
  </si>
  <si>
    <t>Penalty calculation</t>
  </si>
  <si>
    <t>Forecast error</t>
  </si>
  <si>
    <t>Boolean</t>
  </si>
  <si>
    <t>Is a penalty  required?</t>
  </si>
  <si>
    <t>Penalty rate magnitude</t>
  </si>
  <si>
    <t>Penalty adjustment</t>
  </si>
  <si>
    <t>Penalty adjustment - with financing adjustment</t>
  </si>
  <si>
    <t>Penalty adjustment - with financing adjustment &amp; 2 year lag of inflation</t>
  </si>
  <si>
    <t>Penalty adjustment - as incurred</t>
  </si>
  <si>
    <t>WRFIM adjustment</t>
  </si>
  <si>
    <t>WRFIM adjustment - as incurred</t>
  </si>
  <si>
    <t>Performance is outside +/-6% variance level</t>
  </si>
  <si>
    <t>Is more detailed variance analyses required to be submitted?</t>
  </si>
  <si>
    <t>2 Application of penalty</t>
  </si>
  <si>
    <t>One year of RPI and financing costs adjustments to main revenue applied</t>
  </si>
  <si>
    <t>Value of Year 4 main revenue adjustment at the end of AMP6</t>
  </si>
  <si>
    <t>Value of Year 4 penalty adjustment at the end of AMP6</t>
  </si>
  <si>
    <t>Value of Year 4 WRFIM adjustments at the end of AMP6</t>
  </si>
  <si>
    <t>No RPI and financing costs adjustments applied</t>
  </si>
  <si>
    <t>Value of Year 5 main revenue adjustment at the end of AMP6</t>
  </si>
  <si>
    <t>Value of Year 5 penalty adjustment at the end of AMP6</t>
  </si>
  <si>
    <t>Value of Year 5 WRFIM adjustments at the end of AMP6</t>
  </si>
  <si>
    <t>Total reward / (penalty) at the end of AMP6</t>
  </si>
  <si>
    <t>WRFIM.Water</t>
  </si>
  <si>
    <t>WRFIM calculations - waste</t>
  </si>
  <si>
    <t>AllRev.Outturn.Waste</t>
  </si>
  <si>
    <t>AMP5.RCM.Adj.Waste</t>
  </si>
  <si>
    <t>RCM.BlindYear.Adj.Waste</t>
  </si>
  <si>
    <t>AMP6.FI.Adj.Waste</t>
  </si>
  <si>
    <t>Adj.AllRev.Waste</t>
  </si>
  <si>
    <t>Baseline.AllRev.Waste</t>
  </si>
  <si>
    <t>Perc.Recovered.Waste</t>
  </si>
  <si>
    <t>WRFIM.Waste</t>
  </si>
  <si>
    <t>WRFIM adjustments</t>
  </si>
  <si>
    <t>1 WRFIM adjustment at the end of AMP6</t>
  </si>
  <si>
    <t>Total reward / (penalty) - water</t>
  </si>
  <si>
    <t>Total reward / (penalty) - waste</t>
  </si>
  <si>
    <t>Timeline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</si>
  <si>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</si>
  <si>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</si>
  <si>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</si>
  <si>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</si>
  <si>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</si>
  <si>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</si>
  <si>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</si>
  <si>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</si>
  <si>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</si>
  <si>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</si>
  <si>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</si>
  <si>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</si>
  <si>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</si>
  <si>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AMP.Years</t>
  </si>
  <si>
    <t>Calendar.Years</t>
  </si>
  <si>
    <t>RPI: Assumed percentage increase for unpopulated monthly values</t>
  </si>
  <si>
    <t>Redundant code deleted</t>
  </si>
  <si>
    <t>Accelerated return of over-recovered revenue</t>
  </si>
  <si>
    <t xml:space="preserve">Over-recovered revenue returned to customers after one year </t>
  </si>
  <si>
    <t>Model modified to work for companies that accelerate the return of over-recovered revenue to customers after one year</t>
  </si>
  <si>
    <t>Data
WRFIM - Water
WRFIM - Waste</t>
  </si>
  <si>
    <t xml:space="preserve">Change calculation of 'Adjusted allowed revenue (AR)' to recognise the early return revenue in year t+1 and corresponding back out from year t+2 </t>
  </si>
  <si>
    <t>Data rows 47 to 54
WRFIM sheets rows 29 to 31 and 33</t>
  </si>
  <si>
    <t>Over-recovered 17/18 revenue returned - water</t>
  </si>
  <si>
    <t>Over-recovered 17/18 revenue returned - wastewater</t>
  </si>
  <si>
    <t>Over-recovered 18/19 revenue returned - water</t>
  </si>
  <si>
    <t>Over-recovered 18/19 revenue returned - wastewater</t>
  </si>
  <si>
    <t>Back out of over-recovered 17/18 revenue - water</t>
  </si>
  <si>
    <t>Back out of over-recovered 17/18 revenue - wastewater</t>
  </si>
  <si>
    <t>RCM adjustment remaining to be applied at PR19</t>
  </si>
  <si>
    <t>AMP5 RCM adjustment including additional year financing rate adjustment</t>
  </si>
  <si>
    <t>AMP5 RCM adjustment to be applied at PR19 (12/13 price base)</t>
  </si>
  <si>
    <t>AMP5 RCM adjustment to be applied at PR19 (Outturn price base)</t>
  </si>
  <si>
    <t>Percentage of blind year adjustment remaining to be applied at PR19 - water</t>
  </si>
  <si>
    <t>Percentage of blind year adjustment remaining to be applied at PR19 - waste</t>
  </si>
  <si>
    <t>Model assumes that the RCM adjustment will be profiled in full over 2017-18 to 2019-20. The model does not take account of the potential for the RCM adjustment to be deferred and applied at PR19.</t>
  </si>
  <si>
    <t>Added a check on the percentage of RCM blind year adjustment year by year applied in years 3 to 5. Where less than 100%, the remaining balance has a year's financing adjustment applied, is converted to outturn prices and included in the total reward / (penalty) at the end of AMP6.</t>
  </si>
  <si>
    <t>Rows 25-28
Row 82
Row 84</t>
  </si>
  <si>
    <t>Anglian Water Services</t>
  </si>
  <si>
    <t>WaSC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</si>
</sst>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_);\(#,##0\);\-_)"/>
    <numFmt numFmtId="165" formatCode="#,##0.00_);\(#,##0.00\);\-_)"/>
    <numFmt numFmtId="166" formatCode="#,##0.000_);\(#,##0.000\);\-_)"/>
    <numFmt numFmtId="167" formatCode="0.00%_);\(0.00%\);\-\%_)"/>
    <numFmt numFmtId="168" formatCode="#,##0.0_);\(#,##0.0\);\-_)"/>
    <numFmt numFmtId="169" formatCode="0.0%"/>
  </numFmts>
  <fonts count="86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9C0006"/>
      <name val="Arial"/>
      <family val="2"/>
      <scheme val="minor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b/>
      <sz val="11"/>
      <color rgb="FFA32020"/>
      <name val="Arial"/>
      <family val="2"/>
    </font>
    <font>
      <sz val="9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rgb="FF333333"/>
      <name val="Arial"/>
      <family val="2"/>
      <scheme val="minor"/>
    </font>
    <font>
      <sz val="10"/>
      <color rgb="FF006100"/>
      <name val="Arial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sz val="10"/>
      <color rgb="FF9C6500"/>
      <name val="Arial"/>
      <family val="2"/>
      <scheme val="minor"/>
    </font>
    <font>
      <b/>
      <sz val="10"/>
      <name val="Arial"/>
      <family val="2"/>
      <scheme val="minor"/>
    </font>
    <font>
      <sz val="10"/>
      <color theme="1"/>
      <name val="Arial"/>
      <family val="2"/>
    </font>
    <font>
      <b/>
      <sz val="10"/>
      <color rgb="FF3F3F3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2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theme="0" tint="-0.499984740745262"/>
      <name val="Arial"/>
      <family val="2"/>
    </font>
    <font>
      <sz val="10"/>
      <color indexed="9"/>
      <name val="Arial"/>
      <family val="2"/>
    </font>
    <font>
      <sz val="10"/>
      <color indexed="62"/>
      <name val="Arial"/>
      <family val="2"/>
    </font>
    <font>
      <b/>
      <sz val="26"/>
      <color indexed="9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Arial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2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8"/>
      <name val="Arial MT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sz val="10"/>
      <color rgb="FF00B050"/>
      <name val="Arial"/>
      <family val="2"/>
    </font>
    <font>
      <b/>
      <sz val="20"/>
      <color theme="6" tint="-0.249977111117893"/>
      <name val="Arial"/>
      <family val="2"/>
    </font>
    <font>
      <sz val="10"/>
      <color theme="6" tint="-0.249977111117893"/>
      <name val="Arial"/>
      <family val="2"/>
    </font>
    <font>
      <sz val="11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sz val="10"/>
      <color theme="6" tint="-0.249977111117893"/>
      <name val="Arial"/>
      <family val="2"/>
      <scheme val="minor"/>
    </font>
    <font>
      <b/>
      <sz val="26"/>
      <color theme="6" tint="-0.249977111117893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color rgb="FF0000CC"/>
      <name val="Arial"/>
      <family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rgb="FF00E2FF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indexed="42"/>
      </patternFill>
    </fill>
    <fill>
      <patternFill patternType="solid">
        <fgColor indexed="18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6" fillId="3" borderId="0" applyNumberFormat="0" applyBorder="0" applyAlignment="0" applyProtection="0"/>
    <xf numFmtId="0" fontId="32" fillId="4" borderId="0" applyNumberFormat="0" applyBorder="0" applyAlignment="0" applyProtection="0"/>
    <xf numFmtId="0" fontId="30" fillId="5" borderId="4" applyNumberFormat="0" applyAlignment="0" applyProtection="0"/>
    <xf numFmtId="0" fontId="35" fillId="6" borderId="5" applyNumberFormat="0" applyAlignment="0" applyProtection="0"/>
    <xf numFmtId="0" fontId="21" fillId="6" borderId="4" applyNumberFormat="0" applyAlignment="0" applyProtection="0"/>
    <xf numFmtId="0" fontId="31" fillId="0" borderId="6" applyNumberFormat="0" applyFill="0" applyAlignment="0" applyProtection="0"/>
    <xf numFmtId="0" fontId="22" fillId="7" borderId="7" applyNumberFormat="0" applyAlignment="0" applyProtection="0"/>
    <xf numFmtId="0" fontId="3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5" fillId="32" borderId="0" applyNumberFormat="0" applyBorder="0" applyAlignment="0" applyProtection="0"/>
    <xf numFmtId="164" fontId="7" fillId="0" borderId="10">
      <alignment horizontal="center"/>
    </xf>
    <xf numFmtId="0" fontId="8" fillId="0" borderId="11" applyNumberFormat="0" applyAlignment="0" applyProtection="0"/>
    <xf numFmtId="0" fontId="9" fillId="0" borderId="0" applyNumberFormat="0" applyAlignment="0" applyProtection="0"/>
    <xf numFmtId="0" fontId="10" fillId="0" borderId="12" applyNumberFormat="0" applyFill="0" applyAlignment="0">
      <alignment vertical="top"/>
    </xf>
    <xf numFmtId="0" fontId="11" fillId="0" borderId="13" applyNumberFormat="0" applyFill="0" applyAlignment="0"/>
    <xf numFmtId="0" fontId="12" fillId="0" borderId="0" applyNumberFormat="0" applyFill="0" applyAlignment="0"/>
    <xf numFmtId="0" fontId="13" fillId="33" borderId="14" applyNumberFormat="0" applyFont="0" applyAlignment="0" applyProtection="0"/>
    <xf numFmtId="0" fontId="13" fillId="34" borderId="14" applyNumberFormat="0" applyFont="0" applyAlignment="0" applyProtection="0"/>
    <xf numFmtId="0" fontId="13" fillId="35" borderId="15" applyNumberFormat="0" applyFont="0" applyAlignment="0" applyProtection="0"/>
    <xf numFmtId="0" fontId="14" fillId="0" borderId="0" applyNumberFormat="0" applyFill="0" applyBorder="0" applyAlignment="0" applyProtection="0"/>
    <xf numFmtId="0" fontId="4" fillId="36" borderId="14" applyNumberFormat="0" applyFont="0" applyAlignment="0" applyProtection="0"/>
    <xf numFmtId="0" fontId="4" fillId="37" borderId="15" applyNumberFormat="0" applyFont="0" applyAlignment="0" applyProtection="0"/>
    <xf numFmtId="0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9" fontId="17" fillId="0" borderId="0" applyFont="0" applyFill="0" applyBorder="0" applyAlignment="0" applyProtection="0">
      <alignment horizontal="left"/>
    </xf>
    <xf numFmtId="0" fontId="13" fillId="0" borderId="0" applyAlignment="0" applyProtection="0"/>
    <xf numFmtId="0" fontId="18" fillId="0" borderId="0" applyFill="0" applyBorder="0" applyAlignment="0" applyProtection="0"/>
    <xf numFmtId="49" fontId="18" fillId="0" borderId="0" applyNumberFormat="0" applyAlignment="0" applyProtection="0">
      <alignment horizontal="left"/>
    </xf>
    <xf numFmtId="49" fontId="19" fillId="0" borderId="16" applyNumberFormat="0" applyAlignment="0" applyProtection="0">
      <alignment horizontal="left" wrapText="1"/>
    </xf>
    <xf numFmtId="49" fontId="19" fillId="0" borderId="0" applyNumberFormat="0" applyAlignment="0" applyProtection="0">
      <alignment horizontal="left" wrapText="1"/>
    </xf>
    <xf numFmtId="49" fontId="20" fillId="0" borderId="0" applyAlignment="0" applyProtection="0">
      <alignment horizontal="left"/>
    </xf>
    <xf numFmtId="0" fontId="22" fillId="38" borderId="0" applyNumberFormat="0" applyAlignment="0" applyProtection="0"/>
    <xf numFmtId="0" fontId="24" fillId="0" borderId="10" applyNumberFormat="0" applyAlignment="0" applyProtection="0"/>
    <xf numFmtId="0" fontId="29" fillId="39" borderId="0" applyNumberFormat="0" applyFont="0" applyAlignment="0" applyProtection="0"/>
    <xf numFmtId="0" fontId="33" fillId="40" borderId="0" applyNumberFormat="0" applyAlignment="0" applyProtection="0"/>
    <xf numFmtId="0" fontId="34" fillId="0" borderId="0"/>
    <xf numFmtId="0" fontId="13" fillId="0" borderId="0"/>
    <xf numFmtId="0" fontId="34" fillId="0" borderId="0"/>
    <xf numFmtId="0" fontId="34" fillId="8" borderId="8" applyNumberFormat="0" applyFont="0" applyAlignment="0" applyProtection="0"/>
    <xf numFmtId="0" fontId="15" fillId="0" borderId="0"/>
    <xf numFmtId="0" fontId="22" fillId="41" borderId="10" applyNumberFormat="0" applyAlignment="0" applyProtection="0"/>
    <xf numFmtId="0" fontId="13" fillId="42" borderId="14" applyNumberFormat="0" applyFont="0" applyAlignment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1" fillId="0" borderId="0"/>
    <xf numFmtId="0" fontId="51" fillId="0" borderId="0"/>
    <xf numFmtId="0" fontId="3" fillId="0" borderId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vertical="top"/>
    </xf>
    <xf numFmtId="0" fontId="52" fillId="51" borderId="0" applyNumberFormat="0" applyBorder="0" applyAlignment="0" applyProtection="0"/>
    <xf numFmtId="0" fontId="52" fillId="34" borderId="0" applyNumberFormat="0" applyBorder="0" applyAlignment="0" applyProtection="0"/>
    <xf numFmtId="0" fontId="52" fillId="52" borderId="0" applyNumberFormat="0" applyBorder="0" applyAlignment="0" applyProtection="0"/>
    <xf numFmtId="0" fontId="52" fillId="51" borderId="0" applyNumberFormat="0" applyBorder="0" applyAlignment="0" applyProtection="0"/>
    <xf numFmtId="0" fontId="52" fillId="53" borderId="0" applyNumberFormat="0" applyBorder="0" applyAlignment="0" applyProtection="0"/>
    <xf numFmtId="0" fontId="52" fillId="34" borderId="0" applyNumberFormat="0" applyBorder="0" applyAlignment="0" applyProtection="0"/>
    <xf numFmtId="0" fontId="52" fillId="54" borderId="0" applyNumberFormat="0" applyBorder="0" applyAlignment="0" applyProtection="0"/>
    <xf numFmtId="0" fontId="52" fillId="55" borderId="0" applyNumberFormat="0" applyBorder="0" applyAlignment="0" applyProtection="0"/>
    <xf numFmtId="0" fontId="52" fillId="33" borderId="0" applyNumberFormat="0" applyBorder="0" applyAlignment="0" applyProtection="0"/>
    <xf numFmtId="0" fontId="52" fillId="54" borderId="0" applyNumberFormat="0" applyBorder="0" applyAlignment="0" applyProtection="0"/>
    <xf numFmtId="0" fontId="52" fillId="56" borderId="0" applyNumberFormat="0" applyBorder="0" applyAlignment="0" applyProtection="0"/>
    <xf numFmtId="0" fontId="52" fillId="34" borderId="0" applyNumberFormat="0" applyBorder="0" applyAlignment="0" applyProtection="0"/>
    <xf numFmtId="0" fontId="53" fillId="57" borderId="0" applyNumberFormat="0" applyBorder="0" applyAlignment="0" applyProtection="0"/>
    <xf numFmtId="0" fontId="53" fillId="55" borderId="0" applyNumberFormat="0" applyBorder="0" applyAlignment="0" applyProtection="0"/>
    <xf numFmtId="0" fontId="53" fillId="33" borderId="0" applyNumberFormat="0" applyBorder="0" applyAlignment="0" applyProtection="0"/>
    <xf numFmtId="0" fontId="53" fillId="54" borderId="0" applyNumberFormat="0" applyBorder="0" applyAlignment="0" applyProtection="0"/>
    <xf numFmtId="0" fontId="53" fillId="57" borderId="0" applyNumberFormat="0" applyBorder="0" applyAlignment="0" applyProtection="0"/>
    <xf numFmtId="0" fontId="53" fillId="34" borderId="0" applyNumberFormat="0" applyBorder="0" applyAlignment="0" applyProtection="0"/>
    <xf numFmtId="0" fontId="53" fillId="57" borderId="0" applyNumberFormat="0" applyBorder="0" applyAlignment="0" applyProtection="0"/>
    <xf numFmtId="0" fontId="53" fillId="58" borderId="0" applyNumberFormat="0" applyBorder="0" applyAlignment="0" applyProtection="0"/>
    <xf numFmtId="0" fontId="53" fillId="59" borderId="0" applyNumberFormat="0" applyBorder="0" applyAlignment="0" applyProtection="0"/>
    <xf numFmtId="0" fontId="53" fillId="60" borderId="0" applyNumberFormat="0" applyBorder="0" applyAlignment="0" applyProtection="0"/>
    <xf numFmtId="0" fontId="53" fillId="57" borderId="0" applyNumberFormat="0" applyBorder="0" applyAlignment="0" applyProtection="0"/>
    <xf numFmtId="0" fontId="53" fillId="61" borderId="0" applyNumberFormat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54" fillId="62" borderId="0" applyNumberFormat="0" applyBorder="0" applyAlignment="0" applyProtection="0"/>
    <xf numFmtId="37" fontId="42" fillId="63" borderId="23">
      <alignment horizontal="left"/>
    </xf>
    <xf numFmtId="37" fontId="39" fillId="63" borderId="24"/>
    <xf numFmtId="0" fontId="15" fillId="63" borderId="22" applyNumberFormat="0" applyBorder="0"/>
    <xf numFmtId="0" fontId="15" fillId="63" borderId="22" applyNumberFormat="0" applyBorder="0"/>
    <xf numFmtId="0" fontId="15" fillId="63" borderId="22" applyNumberFormat="0" applyBorder="0"/>
    <xf numFmtId="0" fontId="55" fillId="51" borderId="25" applyNumberFormat="0" applyAlignment="0" applyProtection="0"/>
    <xf numFmtId="0" fontId="56" fillId="64" borderId="26" applyNumberFormat="0" applyAlignment="0" applyProtection="0"/>
    <xf numFmtId="4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42" fillId="65" borderId="0">
      <alignment vertical="top"/>
    </xf>
    <xf numFmtId="0" fontId="15" fillId="0" borderId="27">
      <alignment vertical="top"/>
    </xf>
    <xf numFmtId="0" fontId="15" fillId="50" borderId="19">
      <alignment vertical="top"/>
    </xf>
    <xf numFmtId="0" fontId="42" fillId="50" borderId="0">
      <alignment vertical="top"/>
    </xf>
    <xf numFmtId="0" fontId="15" fillId="66" borderId="0">
      <alignment vertical="top"/>
    </xf>
    <xf numFmtId="0" fontId="59" fillId="67" borderId="0" applyNumberFormat="0" applyBorder="0" applyAlignment="0" applyProtection="0"/>
    <xf numFmtId="0" fontId="60" fillId="63" borderId="28"/>
    <xf numFmtId="37" fontId="15" fillId="63" borderId="0">
      <alignment horizontal="right"/>
    </xf>
    <xf numFmtId="37" fontId="15" fillId="63" borderId="0">
      <alignment horizontal="right"/>
    </xf>
    <xf numFmtId="37" fontId="15" fillId="63" borderId="0">
      <alignment horizontal="right"/>
    </xf>
    <xf numFmtId="0" fontId="61" fillId="0" borderId="29" applyNumberFormat="0" applyFill="0" applyAlignment="0" applyProtection="0"/>
    <xf numFmtId="0" fontId="62" fillId="0" borderId="30" applyNumberFormat="0" applyFill="0" applyAlignment="0" applyProtection="0"/>
    <xf numFmtId="0" fontId="63" fillId="0" borderId="31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34" borderId="25" applyNumberFormat="0" applyAlignment="0" applyProtection="0"/>
    <xf numFmtId="0" fontId="67" fillId="0" borderId="32" applyNumberFormat="0" applyFill="0" applyAlignment="0" applyProtection="0"/>
    <xf numFmtId="0" fontId="68" fillId="33" borderId="0" applyNumberFormat="0" applyBorder="0" applyAlignment="0" applyProtection="0"/>
    <xf numFmtId="0" fontId="69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57" fillId="0" borderId="0"/>
    <xf numFmtId="0" fontId="70" fillId="51" borderId="33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34" applyNumberFormat="0" applyFill="0" applyAlignment="0" applyProtection="0"/>
    <xf numFmtId="0" fontId="73" fillId="0" borderId="0" applyNumberFormat="0" applyFill="0" applyBorder="0" applyAlignment="0" applyProtection="0"/>
    <xf numFmtId="37" fontId="74" fillId="68" borderId="35"/>
    <xf numFmtId="0" fontId="75" fillId="0" borderId="36">
      <alignment horizontal="right"/>
    </xf>
    <xf numFmtId="0" fontId="15" fillId="0" borderId="0"/>
    <xf numFmtId="0" fontId="4" fillId="0" borderId="0"/>
    <xf numFmtId="0" fontId="15" fillId="50" borderId="37"/>
    <xf numFmtId="0" fontId="15" fillId="66" borderId="0"/>
    <xf numFmtId="0" fontId="15" fillId="66" borderId="0"/>
    <xf numFmtId="0" fontId="51" fillId="0" borderId="0"/>
    <xf numFmtId="0" fontId="22" fillId="41" borderId="37" applyNumberFormat="0" applyAlignment="0" applyProtection="0"/>
    <xf numFmtId="9" fontId="4" fillId="0" borderId="0" applyFont="0" applyFill="0" applyBorder="0" applyAlignment="0" applyProtection="0"/>
  </cellStyleXfs>
  <cellXfs count="144">
    <xf numFmtId="0" fontId="0" fillId="0" borderId="0" xfId="0"/>
    <xf numFmtId="0" fontId="38" fillId="44" borderId="17" xfId="0" applyFont="1" applyFill="1" applyBorder="1" applyAlignment="1">
      <alignment horizontal="left" vertical="center"/>
    </xf>
    <xf numFmtId="0" fontId="12" fillId="0" borderId="0" xfId="45"/>
    <xf numFmtId="0" fontId="34" fillId="0" borderId="0" xfId="0" applyFont="1"/>
    <xf numFmtId="1" fontId="39" fillId="0" borderId="17" xfId="0" applyNumberFormat="1" applyFont="1" applyBorder="1" applyAlignment="1">
      <alignment horizontal="center"/>
    </xf>
    <xf numFmtId="1" fontId="40" fillId="43" borderId="17" xfId="0" applyNumberFormat="1" applyFont="1" applyFill="1" applyBorder="1" applyAlignment="1">
      <alignment horizontal="center"/>
    </xf>
    <xf numFmtId="0" fontId="42" fillId="0" borderId="0" xfId="0" applyFont="1" applyAlignment="1">
      <alignment vertical="center"/>
    </xf>
    <xf numFmtId="0" fontId="43" fillId="0" borderId="0" xfId="0" applyFont="1"/>
    <xf numFmtId="49" fontId="43" fillId="45" borderId="17" xfId="0" applyNumberFormat="1" applyFont="1" applyFill="1" applyBorder="1" applyAlignment="1">
      <alignment horizontal="right" vertical="center"/>
    </xf>
    <xf numFmtId="0" fontId="41" fillId="0" borderId="0" xfId="0" applyFont="1"/>
    <xf numFmtId="0" fontId="41" fillId="48" borderId="20" xfId="0" applyFont="1" applyFill="1" applyBorder="1"/>
    <xf numFmtId="0" fontId="41" fillId="48" borderId="21" xfId="0" applyFont="1" applyFill="1" applyBorder="1"/>
    <xf numFmtId="0" fontId="45" fillId="0" borderId="0" xfId="0" applyFont="1"/>
    <xf numFmtId="0" fontId="41" fillId="0" borderId="0" xfId="0" applyFont="1" applyAlignment="1">
      <alignment horizontal="center"/>
    </xf>
    <xf numFmtId="0" fontId="48" fillId="44" borderId="18" xfId="72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76" fillId="0" borderId="0" xfId="0" applyFont="1"/>
    <xf numFmtId="0" fontId="41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15" fillId="0" borderId="0" xfId="0" applyFont="1" applyAlignment="1">
      <alignment horizontal="center" shrinkToFit="1"/>
    </xf>
    <xf numFmtId="0" fontId="2" fillId="0" borderId="0" xfId="0" applyFont="1" applyAlignment="1">
      <alignment horizontal="left" indent="2"/>
    </xf>
    <xf numFmtId="164" fontId="0" fillId="36" borderId="14" xfId="50" applyNumberFormat="1" applyFont="1"/>
    <xf numFmtId="0" fontId="43" fillId="45" borderId="17" xfId="0" applyFont="1" applyFill="1" applyBorder="1" applyAlignment="1">
      <alignment horizontal="left" vertical="center"/>
    </xf>
    <xf numFmtId="0" fontId="48" fillId="44" borderId="17" xfId="72" applyFont="1" applyFill="1" applyBorder="1" applyAlignment="1">
      <alignment horizontal="left" vertical="center"/>
    </xf>
    <xf numFmtId="166" fontId="43" fillId="45" borderId="17" xfId="0" applyNumberFormat="1" applyFont="1" applyFill="1" applyBorder="1" applyAlignment="1">
      <alignment horizontal="left" vertical="center"/>
    </xf>
    <xf numFmtId="166" fontId="2" fillId="0" borderId="0" xfId="0" applyNumberFormat="1" applyFont="1"/>
    <xf numFmtId="0" fontId="41" fillId="0" borderId="0" xfId="0" applyFont="1" applyAlignment="1">
      <alignment horizontal="left"/>
    </xf>
    <xf numFmtId="0" fontId="48" fillId="0" borderId="0" xfId="72" applyFont="1" applyAlignment="1">
      <alignment horizontal="left" vertical="center"/>
    </xf>
    <xf numFmtId="0" fontId="12" fillId="0" borderId="0" xfId="45" applyFill="1"/>
    <xf numFmtId="0" fontId="77" fillId="44" borderId="17" xfId="0" applyFont="1" applyFill="1" applyBorder="1" applyAlignment="1">
      <alignment horizontal="left" vertical="center"/>
    </xf>
    <xf numFmtId="0" fontId="78" fillId="0" borderId="0" xfId="0" applyFont="1"/>
    <xf numFmtId="0" fontId="80" fillId="48" borderId="21" xfId="0" applyFont="1" applyFill="1" applyBorder="1"/>
    <xf numFmtId="0" fontId="81" fillId="0" borderId="0" xfId="0" applyFont="1"/>
    <xf numFmtId="0" fontId="15" fillId="0" borderId="0" xfId="159"/>
    <xf numFmtId="0" fontId="50" fillId="0" borderId="0" xfId="159" applyFont="1"/>
    <xf numFmtId="0" fontId="50" fillId="49" borderId="21" xfId="159" applyFont="1" applyFill="1" applyBorder="1"/>
    <xf numFmtId="0" fontId="15" fillId="49" borderId="21" xfId="159" applyFill="1" applyBorder="1"/>
    <xf numFmtId="0" fontId="42" fillId="49" borderId="21" xfId="159" applyFont="1" applyFill="1" applyBorder="1"/>
    <xf numFmtId="0" fontId="15" fillId="0" borderId="0" xfId="159" applyAlignment="1">
      <alignment vertical="center"/>
    </xf>
    <xf numFmtId="0" fontId="50" fillId="0" borderId="0" xfId="159" applyFont="1" applyAlignment="1">
      <alignment vertical="center"/>
    </xf>
    <xf numFmtId="167" fontId="15" fillId="0" borderId="0" xfId="159" applyNumberFormat="1" applyAlignment="1">
      <alignment horizontal="right" vertical="center"/>
    </xf>
    <xf numFmtId="10" fontId="15" fillId="0" borderId="0" xfId="152" applyNumberFormat="1" applyFont="1" applyFill="1" applyAlignment="1" applyProtection="1">
      <alignment vertical="center"/>
    </xf>
    <xf numFmtId="0" fontId="15" fillId="0" borderId="0" xfId="159" applyAlignment="1">
      <alignment horizontal="left" vertical="center" indent="1"/>
    </xf>
    <xf numFmtId="167" fontId="15" fillId="0" borderId="0" xfId="159" applyNumberFormat="1" applyAlignment="1">
      <alignment horizontal="left" vertical="center"/>
    </xf>
    <xf numFmtId="167" fontId="15" fillId="47" borderId="37" xfId="159" applyNumberFormat="1" applyFill="1" applyBorder="1" applyAlignment="1" applyProtection="1">
      <alignment horizontal="right" vertical="center"/>
      <protection locked="0"/>
    </xf>
    <xf numFmtId="0" fontId="15" fillId="0" borderId="0" xfId="160" applyFont="1" applyAlignment="1">
      <alignment horizontal="left" vertical="center" indent="1"/>
    </xf>
    <xf numFmtId="1" fontId="42" fillId="0" borderId="0" xfId="152" applyNumberFormat="1" applyFont="1" applyFill="1" applyAlignment="1" applyProtection="1">
      <alignment vertical="center"/>
    </xf>
    <xf numFmtId="0" fontId="42" fillId="0" borderId="0" xfId="160" applyFont="1" applyAlignment="1">
      <alignment vertical="center"/>
    </xf>
    <xf numFmtId="168" fontId="15" fillId="0" borderId="38" xfId="159" applyNumberFormat="1" applyBorder="1" applyAlignment="1">
      <alignment horizontal="right" vertical="center"/>
    </xf>
    <xf numFmtId="166" fontId="15" fillId="0" borderId="38" xfId="159" applyNumberFormat="1" applyBorder="1" applyAlignment="1">
      <alignment horizontal="right" vertical="center"/>
    </xf>
    <xf numFmtId="0" fontId="15" fillId="0" borderId="0" xfId="159" applyAlignment="1">
      <alignment shrinkToFit="1"/>
    </xf>
    <xf numFmtId="0" fontId="15" fillId="0" borderId="0" xfId="159" applyAlignment="1">
      <alignment horizontal="left" vertical="center"/>
    </xf>
    <xf numFmtId="168" fontId="15" fillId="0" borderId="0" xfId="159" applyNumberFormat="1" applyAlignment="1">
      <alignment horizontal="right"/>
    </xf>
    <xf numFmtId="164" fontId="15" fillId="46" borderId="37" xfId="159" applyNumberFormat="1" applyFill="1" applyBorder="1" applyAlignment="1">
      <alignment horizontal="right" vertical="center"/>
    </xf>
    <xf numFmtId="165" fontId="15" fillId="69" borderId="37" xfId="159" applyNumberFormat="1" applyFill="1" applyBorder="1" applyAlignment="1">
      <alignment horizontal="right"/>
    </xf>
    <xf numFmtId="0" fontId="15" fillId="0" borderId="0" xfId="159" applyAlignment="1">
      <alignment horizontal="right" vertical="center"/>
    </xf>
    <xf numFmtId="0" fontId="42" fillId="0" borderId="0" xfId="159" applyFont="1" applyAlignment="1">
      <alignment horizontal="left" vertical="center"/>
    </xf>
    <xf numFmtId="10" fontId="15" fillId="0" borderId="0" xfId="152" applyNumberFormat="1" applyFont="1" applyFill="1" applyBorder="1" applyAlignment="1" applyProtection="1">
      <alignment vertical="center"/>
    </xf>
    <xf numFmtId="10" fontId="50" fillId="0" borderId="0" xfId="152" applyNumberFormat="1" applyFont="1" applyFill="1" applyBorder="1" applyAlignment="1" applyProtection="1">
      <alignment vertical="center"/>
    </xf>
    <xf numFmtId="167" fontId="15" fillId="0" borderId="0" xfId="152" applyNumberFormat="1" applyFont="1" applyFill="1" applyBorder="1" applyAlignment="1" applyProtection="1">
      <alignment horizontal="center"/>
    </xf>
    <xf numFmtId="10" fontId="15" fillId="0" borderId="0" xfId="152" applyNumberFormat="1" applyFont="1" applyFill="1" applyBorder="1" applyAlignment="1" applyProtection="1">
      <alignment horizontal="left" vertical="center"/>
    </xf>
    <xf numFmtId="167" fontId="15" fillId="0" borderId="0" xfId="152" applyNumberFormat="1" applyFont="1" applyFill="1" applyBorder="1" applyProtection="1"/>
    <xf numFmtId="167" fontId="15" fillId="47" borderId="37" xfId="152" applyNumberFormat="1" applyFont="1" applyFill="1" applyBorder="1" applyProtection="1"/>
    <xf numFmtId="168" fontId="15" fillId="47" borderId="37" xfId="159" applyNumberFormat="1" applyFill="1" applyBorder="1" applyAlignment="1">
      <alignment horizontal="right" vertical="center"/>
    </xf>
    <xf numFmtId="0" fontId="43" fillId="45" borderId="17" xfId="160" applyFont="1" applyFill="1" applyBorder="1" applyAlignment="1">
      <alignment horizontal="left" vertical="center"/>
    </xf>
    <xf numFmtId="0" fontId="44" fillId="45" borderId="17" xfId="160" applyFont="1" applyFill="1" applyBorder="1" applyAlignment="1">
      <alignment horizontal="left" vertical="center"/>
    </xf>
    <xf numFmtId="49" fontId="43" fillId="45" borderId="17" xfId="160" applyNumberFormat="1" applyFont="1" applyFill="1" applyBorder="1" applyAlignment="1">
      <alignment horizontal="right" vertical="center"/>
    </xf>
    <xf numFmtId="49" fontId="43" fillId="45" borderId="39" xfId="160" applyNumberFormat="1" applyFont="1" applyFill="1" applyBorder="1" applyAlignment="1">
      <alignment horizontal="right" vertical="center"/>
    </xf>
    <xf numFmtId="164" fontId="15" fillId="46" borderId="37" xfId="160" applyNumberFormat="1" applyFont="1" applyFill="1" applyBorder="1" applyAlignment="1">
      <alignment horizontal="right" vertical="center"/>
    </xf>
    <xf numFmtId="0" fontId="2" fillId="0" borderId="0" xfId="160" applyFont="1"/>
    <xf numFmtId="1" fontId="15" fillId="0" borderId="0" xfId="152" applyNumberFormat="1" applyFont="1" applyFill="1" applyBorder="1" applyAlignment="1" applyProtection="1">
      <alignment vertical="center"/>
    </xf>
    <xf numFmtId="1" fontId="50" fillId="0" borderId="0" xfId="152" applyNumberFormat="1" applyFont="1" applyFill="1" applyBorder="1" applyAlignment="1" applyProtection="1">
      <alignment vertical="center"/>
    </xf>
    <xf numFmtId="0" fontId="41" fillId="0" borderId="0" xfId="160" applyFont="1" applyAlignment="1">
      <alignment horizontal="center"/>
    </xf>
    <xf numFmtId="1" fontId="15" fillId="0" borderId="0" xfId="152" applyNumberFormat="1" applyFont="1" applyFill="1" applyAlignment="1" applyProtection="1">
      <alignment vertical="center"/>
    </xf>
    <xf numFmtId="1" fontId="15" fillId="0" borderId="0" xfId="152" applyNumberFormat="1" applyFont="1" applyFill="1" applyBorder="1" applyAlignment="1" applyProtection="1">
      <alignment horizontal="left" vertical="center"/>
    </xf>
    <xf numFmtId="1" fontId="15" fillId="0" borderId="0" xfId="159" applyNumberFormat="1" applyAlignment="1" applyProtection="1">
      <alignment horizontal="right" vertical="center"/>
      <protection hidden="1"/>
    </xf>
    <xf numFmtId="1" fontId="50" fillId="0" borderId="0" xfId="159" applyNumberFormat="1" applyFont="1" applyAlignment="1" applyProtection="1">
      <alignment horizontal="right" vertical="center"/>
      <protection hidden="1"/>
    </xf>
    <xf numFmtId="1" fontId="42" fillId="0" borderId="0" xfId="159" applyNumberFormat="1" applyFont="1" applyAlignment="1" applyProtection="1">
      <alignment horizontal="right" vertical="center"/>
      <protection hidden="1"/>
    </xf>
    <xf numFmtId="1" fontId="50" fillId="0" borderId="0" xfId="159" applyNumberFormat="1" applyFont="1" applyAlignment="1" applyProtection="1">
      <alignment horizontal="left" vertical="center"/>
      <protection hidden="1"/>
    </xf>
    <xf numFmtId="1" fontId="39" fillId="0" borderId="17" xfId="160" applyNumberFormat="1" applyFont="1" applyBorder="1" applyAlignment="1">
      <alignment horizontal="center"/>
    </xf>
    <xf numFmtId="1" fontId="40" fillId="43" borderId="17" xfId="160" applyNumberFormat="1" applyFont="1" applyFill="1" applyBorder="1" applyAlignment="1">
      <alignment horizontal="center"/>
    </xf>
    <xf numFmtId="1" fontId="44" fillId="0" borderId="0" xfId="159" applyNumberFormat="1" applyFont="1" applyAlignment="1">
      <alignment horizontal="left" vertical="center"/>
    </xf>
    <xf numFmtId="0" fontId="15" fillId="0" borderId="0" xfId="159" applyAlignment="1">
      <alignment horizontal="center" vertical="center" shrinkToFit="1"/>
    </xf>
    <xf numFmtId="0" fontId="15" fillId="0" borderId="0" xfId="159" applyAlignment="1">
      <alignment vertical="center" shrinkToFit="1"/>
    </xf>
    <xf numFmtId="0" fontId="15" fillId="0" borderId="0" xfId="159" applyAlignment="1">
      <alignment horizontal="left" vertical="center" shrinkToFit="1"/>
    </xf>
    <xf numFmtId="1" fontId="49" fillId="44" borderId="17" xfId="159" applyNumberFormat="1" applyFont="1" applyFill="1" applyBorder="1" applyAlignment="1">
      <alignment horizontal="left" vertical="center"/>
    </xf>
    <xf numFmtId="0" fontId="18" fillId="44" borderId="0" xfId="159" applyFont="1" applyFill="1" applyAlignment="1">
      <alignment vertical="center"/>
    </xf>
    <xf numFmtId="0" fontId="46" fillId="44" borderId="17" xfId="159" applyFont="1" applyFill="1" applyBorder="1" applyAlignment="1">
      <alignment horizontal="right" vertical="center"/>
    </xf>
    <xf numFmtId="0" fontId="46" fillId="44" borderId="0" xfId="159" applyFont="1" applyFill="1" applyAlignment="1">
      <alignment horizontal="right" vertical="center"/>
    </xf>
    <xf numFmtId="0" fontId="48" fillId="44" borderId="17" xfId="159" applyFont="1" applyFill="1" applyBorder="1" applyAlignment="1">
      <alignment horizontal="left" vertical="center"/>
    </xf>
    <xf numFmtId="49" fontId="47" fillId="44" borderId="17" xfId="159" applyNumberFormat="1" applyFont="1" applyFill="1" applyBorder="1"/>
    <xf numFmtId="0" fontId="46" fillId="44" borderId="17" xfId="159" applyFont="1" applyFill="1" applyBorder="1" applyAlignment="1">
      <alignment vertical="center"/>
    </xf>
    <xf numFmtId="0" fontId="0" fillId="0" borderId="0" xfId="0" applyAlignment="1">
      <alignment horizontal="left" vertical="top"/>
    </xf>
    <xf numFmtId="164" fontId="0" fillId="70" borderId="14" xfId="50" applyNumberFormat="1" applyFont="1" applyFill="1"/>
    <xf numFmtId="0" fontId="2" fillId="0" borderId="40" xfId="0" applyFont="1" applyBorder="1" applyAlignment="1">
      <alignment horizontal="left" vertical="top" wrapText="1"/>
    </xf>
    <xf numFmtId="0" fontId="15" fillId="0" borderId="40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 wrapText="1"/>
    </xf>
    <xf numFmtId="0" fontId="2" fillId="0" borderId="43" xfId="0" applyFont="1" applyBorder="1" applyAlignment="1">
      <alignment horizontal="left" vertical="top"/>
    </xf>
    <xf numFmtId="0" fontId="2" fillId="0" borderId="41" xfId="0" applyFont="1" applyBorder="1" applyAlignment="1">
      <alignment horizontal="left" vertical="top"/>
    </xf>
    <xf numFmtId="0" fontId="2" fillId="0" borderId="42" xfId="0" applyFont="1" applyBorder="1" applyAlignment="1">
      <alignment horizontal="left" vertical="top"/>
    </xf>
    <xf numFmtId="0" fontId="2" fillId="0" borderId="42" xfId="0" applyFont="1" applyBorder="1" applyAlignment="1">
      <alignment horizontal="left" vertical="top" wrapText="1"/>
    </xf>
    <xf numFmtId="0" fontId="83" fillId="0" borderId="4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50" borderId="0" xfId="0" applyFill="1"/>
    <xf numFmtId="0" fontId="2" fillId="33" borderId="14" xfId="46" applyNumberFormat="1" applyFont="1"/>
    <xf numFmtId="0" fontId="84" fillId="0" borderId="0" xfId="0" applyFont="1"/>
    <xf numFmtId="0" fontId="82" fillId="44" borderId="17" xfId="72" applyFont="1" applyFill="1" applyBorder="1" applyAlignment="1">
      <alignment horizontal="left" vertical="center"/>
    </xf>
    <xf numFmtId="164" fontId="15" fillId="46" borderId="37" xfId="0" applyNumberFormat="1" applyFont="1" applyFill="1" applyBorder="1" applyAlignment="1">
      <alignment horizontal="right" vertical="center"/>
    </xf>
    <xf numFmtId="49" fontId="43" fillId="45" borderId="39" xfId="0" applyNumberFormat="1" applyFont="1" applyFill="1" applyBorder="1" applyAlignment="1">
      <alignment horizontal="right" vertical="center"/>
    </xf>
    <xf numFmtId="0" fontId="44" fillId="45" borderId="17" xfId="0" applyFont="1" applyFill="1" applyBorder="1" applyAlignment="1">
      <alignment horizontal="left" vertical="center"/>
    </xf>
    <xf numFmtId="0" fontId="79" fillId="45" borderId="17" xfId="0" applyFont="1" applyFill="1" applyBorder="1" applyAlignment="1">
      <alignment horizontal="left" vertical="center"/>
    </xf>
    <xf numFmtId="167" fontId="2" fillId="47" borderId="14" xfId="46" applyNumberFormat="1" applyFont="1" applyFill="1"/>
    <xf numFmtId="0" fontId="43" fillId="45" borderId="17" xfId="0" applyFont="1" applyFill="1" applyBorder="1" applyAlignment="1">
      <alignment horizontal="center" vertical="center"/>
    </xf>
    <xf numFmtId="9" fontId="2" fillId="0" borderId="0" xfId="166" applyFont="1"/>
    <xf numFmtId="167" fontId="2" fillId="0" borderId="0" xfId="0" applyNumberFormat="1" applyFont="1"/>
    <xf numFmtId="0" fontId="2" fillId="0" borderId="37" xfId="0" applyFont="1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29" fillId="0" borderId="0" xfId="0" applyFont="1"/>
    <xf numFmtId="169" fontId="2" fillId="0" borderId="0" xfId="166" applyNumberFormat="1" applyFont="1" applyFill="1" applyBorder="1"/>
    <xf numFmtId="0" fontId="2" fillId="0" borderId="44" xfId="0" applyFont="1" applyBorder="1" applyAlignment="1">
      <alignment horizontal="left" vertical="top" wrapText="1"/>
    </xf>
    <xf numFmtId="0" fontId="2" fillId="0" borderId="44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 wrapText="1"/>
    </xf>
    <xf numFmtId="10" fontId="15" fillId="0" borderId="0" xfId="152" applyNumberFormat="1" applyFont="1" applyFill="1" applyAlignment="1" applyProtection="1">
      <alignment vertical="center" wrapText="1"/>
    </xf>
    <xf numFmtId="167" fontId="15" fillId="0" borderId="0" xfId="159" applyNumberFormat="1" applyAlignment="1" applyProtection="1">
      <alignment horizontal="right" vertical="center"/>
      <protection locked="0"/>
    </xf>
    <xf numFmtId="10" fontId="15" fillId="0" borderId="0" xfId="159" applyNumberFormat="1" applyAlignment="1">
      <alignment shrinkToFit="1"/>
    </xf>
    <xf numFmtId="10" fontId="15" fillId="0" borderId="0" xfId="159" applyNumberFormat="1" applyAlignment="1">
      <alignment horizontal="left" vertical="center"/>
    </xf>
    <xf numFmtId="166" fontId="2" fillId="71" borderId="0" xfId="0" applyNumberFormat="1" applyFont="1" applyFill="1"/>
    <xf numFmtId="0" fontId="2" fillId="71" borderId="44" xfId="0" applyFont="1" applyFill="1" applyBorder="1" applyAlignment="1">
      <alignment horizontal="left" vertical="top"/>
    </xf>
    <xf numFmtId="0" fontId="2" fillId="71" borderId="44" xfId="0" applyFont="1" applyFill="1" applyBorder="1" applyAlignment="1">
      <alignment horizontal="left" vertical="top" wrapText="1"/>
    </xf>
    <xf numFmtId="0" fontId="2" fillId="72" borderId="40" xfId="0" applyFont="1" applyFill="1" applyBorder="1" applyAlignment="1">
      <alignment horizontal="left" vertical="top"/>
    </xf>
    <xf numFmtId="0" fontId="2" fillId="72" borderId="40" xfId="0" applyFont="1" applyFill="1" applyBorder="1" applyAlignment="1">
      <alignment horizontal="left" vertical="top" wrapText="1"/>
    </xf>
    <xf numFmtId="0" fontId="2" fillId="72" borderId="0" xfId="0" applyFont="1" applyFill="1" applyAlignment="1">
      <alignment horizontal="left" indent="1"/>
    </xf>
    <xf numFmtId="166" fontId="2" fillId="72" borderId="0" xfId="0" applyNumberFormat="1" applyFont="1" applyFill="1"/>
    <xf numFmtId="169" fontId="2" fillId="72" borderId="0" xfId="166" applyNumberFormat="1" applyFont="1" applyFill="1" applyBorder="1"/>
    <xf numFmtId="17" fontId="2" fillId="0" borderId="0" xfId="0" applyNumberFormat="1" applyFont="1"/>
    <xf numFmtId="165" fontId="85" fillId="33" borderId="14" xfId="46" applyNumberFormat="1" applyFont="1"/>
    <xf numFmtId="166" fontId="85" fillId="47" borderId="14" xfId="46" applyNumberFormat="1" applyFont="1" applyFill="1"/>
    <xf numFmtId="166" fontId="85" fillId="33" borderId="14" xfId="46" applyNumberFormat="1" applyFont="1"/>
    <xf numFmtId="169" fontId="85" fillId="33" borderId="14" xfId="166" applyNumberFormat="1" applyFont="1" applyFill="1" applyBorder="1"/>
    <xf numFmtId="168" fontId="15" fillId="73" borderId="37" xfId="159" applyNumberFormat="1" applyFill="1" applyBorder="1" applyAlignment="1">
      <alignment horizontal="right" vertical="center"/>
    </xf>
  </cellXfs>
  <cellStyles count="167">
    <cellStyle name="%" xfId="74" xr:uid="{00000000-0005-0000-0000-000000000000}"/>
    <cellStyle name="]_x000d__x000a_Zoomed=1_x000d__x000a_Row=0_x000d__x000a_Column=0_x000d__x000a_Height=0_x000d__x000a_Width=0_x000d__x000a_FontName=FoxFont_x000d__x000a_FontStyle=0_x000d__x000a_FontSize=9_x000d__x000a_PrtFontName=FoxPrin" xfId="84" xr:uid="{00000000-0005-0000-0000-000001000000}"/>
    <cellStyle name="20% - Accent1" xfId="17" builtinId="30" customBuiltin="1"/>
    <cellStyle name="20% - Accent1 2" xfId="85" xr:uid="{00000000-0005-0000-0000-000003000000}"/>
    <cellStyle name="20% - Accent2" xfId="21" builtinId="34" customBuiltin="1"/>
    <cellStyle name="20% - Accent2 2" xfId="86" xr:uid="{00000000-0005-0000-0000-000005000000}"/>
    <cellStyle name="20% - Accent3" xfId="25" builtinId="38" customBuiltin="1"/>
    <cellStyle name="20% - Accent3 2" xfId="87" xr:uid="{00000000-0005-0000-0000-000007000000}"/>
    <cellStyle name="20% - Accent4" xfId="29" builtinId="42" customBuiltin="1"/>
    <cellStyle name="20% - Accent4 2" xfId="88" xr:uid="{00000000-0005-0000-0000-000009000000}"/>
    <cellStyle name="20% - Accent5" xfId="33" builtinId="46" customBuiltin="1"/>
    <cellStyle name="20% - Accent5 2" xfId="89" xr:uid="{00000000-0005-0000-0000-00000B000000}"/>
    <cellStyle name="20% - Accent6" xfId="37" builtinId="50" customBuiltin="1"/>
    <cellStyle name="20% - Accent6 2" xfId="90" xr:uid="{00000000-0005-0000-0000-00000D000000}"/>
    <cellStyle name="40% - Accent1" xfId="18" builtinId="31" customBuiltin="1"/>
    <cellStyle name="40% - Accent1 2" xfId="91" xr:uid="{00000000-0005-0000-0000-00000F000000}"/>
    <cellStyle name="40% - Accent2" xfId="22" builtinId="35" customBuiltin="1"/>
    <cellStyle name="40% - Accent2 2" xfId="92" xr:uid="{00000000-0005-0000-0000-000011000000}"/>
    <cellStyle name="40% - Accent3" xfId="26" builtinId="39" customBuiltin="1"/>
    <cellStyle name="40% - Accent3 2" xfId="93" xr:uid="{00000000-0005-0000-0000-000013000000}"/>
    <cellStyle name="40% - Accent4" xfId="30" builtinId="43" customBuiltin="1"/>
    <cellStyle name="40% - Accent4 2" xfId="94" xr:uid="{00000000-0005-0000-0000-000015000000}"/>
    <cellStyle name="40% - Accent5" xfId="34" builtinId="47" customBuiltin="1"/>
    <cellStyle name="40% - Accent5 2" xfId="95" xr:uid="{00000000-0005-0000-0000-000017000000}"/>
    <cellStyle name="40% - Accent6" xfId="38" builtinId="51" customBuiltin="1"/>
    <cellStyle name="40% - Accent6 2" xfId="96" xr:uid="{00000000-0005-0000-0000-000019000000}"/>
    <cellStyle name="60% - Accent1" xfId="19" builtinId="32" customBuiltin="1"/>
    <cellStyle name="60% - Accent1 2" xfId="97" xr:uid="{00000000-0005-0000-0000-00001B000000}"/>
    <cellStyle name="60% - Accent2" xfId="23" builtinId="36" customBuiltin="1"/>
    <cellStyle name="60% - Accent2 2" xfId="98" xr:uid="{00000000-0005-0000-0000-00001D000000}"/>
    <cellStyle name="60% - Accent3" xfId="27" builtinId="40" customBuiltin="1"/>
    <cellStyle name="60% - Accent3 2" xfId="99" xr:uid="{00000000-0005-0000-0000-00001F000000}"/>
    <cellStyle name="60% - Accent4" xfId="31" builtinId="44" customBuiltin="1"/>
    <cellStyle name="60% - Accent4 2" xfId="100" xr:uid="{00000000-0005-0000-0000-000021000000}"/>
    <cellStyle name="60% - Accent5" xfId="35" builtinId="48" customBuiltin="1"/>
    <cellStyle name="60% - Accent5 2" xfId="101" xr:uid="{00000000-0005-0000-0000-000023000000}"/>
    <cellStyle name="60% - Accent6" xfId="39" builtinId="52" customBuiltin="1"/>
    <cellStyle name="60% - Accent6 2" xfId="102" xr:uid="{00000000-0005-0000-0000-000025000000}"/>
    <cellStyle name="Accent1" xfId="16" builtinId="29" customBuiltin="1"/>
    <cellStyle name="Accent1 2" xfId="103" xr:uid="{00000000-0005-0000-0000-000027000000}"/>
    <cellStyle name="Accent2" xfId="20" builtinId="33" customBuiltin="1"/>
    <cellStyle name="Accent2 2" xfId="104" xr:uid="{00000000-0005-0000-0000-000029000000}"/>
    <cellStyle name="Accent3" xfId="24" builtinId="37" customBuiltin="1"/>
    <cellStyle name="Accent3 2" xfId="105" xr:uid="{00000000-0005-0000-0000-00002B000000}"/>
    <cellStyle name="Accent4" xfId="28" builtinId="41" customBuiltin="1"/>
    <cellStyle name="Accent4 2" xfId="106" xr:uid="{00000000-0005-0000-0000-00002D000000}"/>
    <cellStyle name="Accent5" xfId="32" builtinId="45" customBuiltin="1"/>
    <cellStyle name="Accent5 2" xfId="107" xr:uid="{00000000-0005-0000-0000-00002F000000}"/>
    <cellStyle name="Accent6" xfId="36" builtinId="49" customBuiltin="1"/>
    <cellStyle name="Accent6 2" xfId="108" xr:uid="{00000000-0005-0000-0000-000031000000}"/>
    <cellStyle name="Att1" xfId="109" xr:uid="{00000000-0005-0000-0000-000032000000}"/>
    <cellStyle name="Att1 2" xfId="110" xr:uid="{00000000-0005-0000-0000-000033000000}"/>
    <cellStyle name="Att1 3" xfId="111" xr:uid="{00000000-0005-0000-0000-000034000000}"/>
    <cellStyle name="Bad" xfId="6" builtinId="27" customBuiltin="1"/>
    <cellStyle name="Bad 2" xfId="112" xr:uid="{00000000-0005-0000-0000-000036000000}"/>
    <cellStyle name="BM CheckSum" xfId="40" xr:uid="{00000000-0005-0000-0000-000037000000}"/>
    <cellStyle name="BM Header Main" xfId="41" xr:uid="{00000000-0005-0000-0000-000038000000}"/>
    <cellStyle name="BM Header Secondary" xfId="42" xr:uid="{00000000-0005-0000-0000-000039000000}"/>
    <cellStyle name="BM Heading 1" xfId="43" xr:uid="{00000000-0005-0000-0000-00003A000000}"/>
    <cellStyle name="BM Heading 2" xfId="44" xr:uid="{00000000-0005-0000-0000-00003B000000}"/>
    <cellStyle name="BM Heading 3" xfId="45" xr:uid="{00000000-0005-0000-0000-00003C000000}"/>
    <cellStyle name="BM Input" xfId="46" xr:uid="{00000000-0005-0000-0000-00003D000000}"/>
    <cellStyle name="BM Input External Link" xfId="47" xr:uid="{00000000-0005-0000-0000-00003E000000}"/>
    <cellStyle name="BM Input Modeller" xfId="48" xr:uid="{00000000-0005-0000-0000-00003F000000}"/>
    <cellStyle name="BM Label" xfId="49" xr:uid="{00000000-0005-0000-0000-000040000000}"/>
    <cellStyle name="BM Modellers Input" xfId="50" xr:uid="{00000000-0005-0000-0000-000041000000}"/>
    <cellStyle name="BM UF" xfId="51" xr:uid="{00000000-0005-0000-0000-000042000000}"/>
    <cellStyle name="BMNumber" xfId="52" xr:uid="{00000000-0005-0000-0000-000043000000}"/>
    <cellStyle name="BMRangeName" xfId="53" xr:uid="{00000000-0005-0000-0000-000044000000}"/>
    <cellStyle name="bold_text" xfId="113" xr:uid="{00000000-0005-0000-0000-000045000000}"/>
    <cellStyle name="boldbluetxt_green" xfId="114" xr:uid="{00000000-0005-0000-0000-000046000000}"/>
    <cellStyle name="box" xfId="115" xr:uid="{00000000-0005-0000-0000-000047000000}"/>
    <cellStyle name="box 2" xfId="116" xr:uid="{00000000-0005-0000-0000-000048000000}"/>
    <cellStyle name="box 3" xfId="117" xr:uid="{00000000-0005-0000-0000-000049000000}"/>
    <cellStyle name="Brand Align Left Text" xfId="54" xr:uid="{00000000-0005-0000-0000-00004A000000}"/>
    <cellStyle name="Brand Default" xfId="55" xr:uid="{00000000-0005-0000-0000-00004B000000}"/>
    <cellStyle name="Brand Percent" xfId="56" xr:uid="{00000000-0005-0000-0000-00004C000000}"/>
    <cellStyle name="Brand Source" xfId="57" xr:uid="{00000000-0005-0000-0000-00004D000000}"/>
    <cellStyle name="Brand Subtitle with Underline" xfId="58" xr:uid="{00000000-0005-0000-0000-00004E000000}"/>
    <cellStyle name="Brand Subtitle without Underline" xfId="59" xr:uid="{00000000-0005-0000-0000-00004F000000}"/>
    <cellStyle name="Brand Title" xfId="60" xr:uid="{00000000-0005-0000-0000-000050000000}"/>
    <cellStyle name="Calculation" xfId="10" builtinId="22" customBuiltin="1"/>
    <cellStyle name="Calculation 2" xfId="118" xr:uid="{00000000-0005-0000-0000-000052000000}"/>
    <cellStyle name="Check Cell" xfId="12" builtinId="23" customBuiltin="1"/>
    <cellStyle name="Check Cell 2" xfId="119" xr:uid="{00000000-0005-0000-0000-000054000000}"/>
    <cellStyle name="Comma 2" xfId="75" xr:uid="{00000000-0005-0000-0000-000055000000}"/>
    <cellStyle name="Comma 3" xfId="76" xr:uid="{00000000-0005-0000-0000-000056000000}"/>
    <cellStyle name="Comma 3 2" xfId="120" xr:uid="{00000000-0005-0000-0000-000057000000}"/>
    <cellStyle name="Comma 3 2 2" xfId="121" xr:uid="{00000000-0005-0000-0000-000058000000}"/>
    <cellStyle name="Comma 3 3" xfId="122" xr:uid="{00000000-0005-0000-0000-000059000000}"/>
    <cellStyle name="Comma 4" xfId="123" xr:uid="{00000000-0005-0000-0000-00005A000000}"/>
    <cellStyle name="Comma 5" xfId="77" xr:uid="{00000000-0005-0000-0000-00005B000000}"/>
    <cellStyle name="Comma 6" xfId="124" xr:uid="{00000000-0005-0000-0000-00005C000000}"/>
    <cellStyle name="Comma 7" xfId="125" xr:uid="{00000000-0005-0000-0000-00005D000000}"/>
    <cellStyle name="Error" xfId="61" xr:uid="{00000000-0005-0000-0000-00005E000000}"/>
    <cellStyle name="Explanatory Text" xfId="14" builtinId="53" customBuiltin="1"/>
    <cellStyle name="Explanatory Text 2" xfId="126" xr:uid="{00000000-0005-0000-0000-000060000000}"/>
    <cellStyle name="False" xfId="62" xr:uid="{00000000-0005-0000-0000-000061000000}"/>
    <cellStyle name="Fountain Col Header" xfId="127" xr:uid="{00000000-0005-0000-0000-000062000000}"/>
    <cellStyle name="Fountain Error" xfId="128" xr:uid="{00000000-0005-0000-0000-000063000000}"/>
    <cellStyle name="Fountain Input" xfId="129" xr:uid="{00000000-0005-0000-0000-000064000000}"/>
    <cellStyle name="Fountain Input 2" xfId="161" xr:uid="{00000000-0005-0000-0000-000065000000}"/>
    <cellStyle name="Fountain Table Header" xfId="130" xr:uid="{00000000-0005-0000-0000-000066000000}"/>
    <cellStyle name="Fountain Text" xfId="131" xr:uid="{00000000-0005-0000-0000-000067000000}"/>
    <cellStyle name="Fountain Text 2" xfId="162" xr:uid="{00000000-0005-0000-0000-000068000000}"/>
    <cellStyle name="Fountain Text 4" xfId="163" xr:uid="{00000000-0005-0000-0000-000069000000}"/>
    <cellStyle name="Good" xfId="5" builtinId="26" customBuiltin="1"/>
    <cellStyle name="Good 2" xfId="132" xr:uid="{00000000-0005-0000-0000-00006B000000}"/>
    <cellStyle name="Header" xfId="133" xr:uid="{00000000-0005-0000-0000-00006C000000}"/>
    <cellStyle name="Header3rdlevel" xfId="134" xr:uid="{00000000-0005-0000-0000-00006D000000}"/>
    <cellStyle name="Header3rdlevel 2" xfId="135" xr:uid="{00000000-0005-0000-0000-00006E000000}"/>
    <cellStyle name="Header3rdlevel 3" xfId="136" xr:uid="{00000000-0005-0000-0000-00006F000000}"/>
    <cellStyle name="Heading 1" xfId="1" builtinId="16" customBuiltin="1"/>
    <cellStyle name="Heading 1 2" xfId="137" xr:uid="{00000000-0005-0000-0000-000071000000}"/>
    <cellStyle name="Heading 2" xfId="2" builtinId="17" customBuiltin="1"/>
    <cellStyle name="Heading 2 2" xfId="138" xr:uid="{00000000-0005-0000-0000-000073000000}"/>
    <cellStyle name="Heading 3" xfId="3" builtinId="18" customBuiltin="1"/>
    <cellStyle name="Heading 3 2" xfId="139" xr:uid="{00000000-0005-0000-0000-000075000000}"/>
    <cellStyle name="Heading 4" xfId="4" builtinId="19" customBuiltin="1"/>
    <cellStyle name="Heading 4 2" xfId="140" xr:uid="{00000000-0005-0000-0000-000077000000}"/>
    <cellStyle name="Hyperlink 2" xfId="141" xr:uid="{00000000-0005-0000-0000-000078000000}"/>
    <cellStyle name="Hyperlink 3" xfId="142" xr:uid="{00000000-0005-0000-0000-000079000000}"/>
    <cellStyle name="In Development" xfId="63" xr:uid="{00000000-0005-0000-0000-00007A000000}"/>
    <cellStyle name="Input" xfId="8" builtinId="20" customBuiltin="1"/>
    <cellStyle name="Input 2" xfId="143" xr:uid="{00000000-0005-0000-0000-00007C000000}"/>
    <cellStyle name="Linked Cell" xfId="11" builtinId="24" customBuiltin="1"/>
    <cellStyle name="Linked Cell 2" xfId="144" xr:uid="{00000000-0005-0000-0000-00007E000000}"/>
    <cellStyle name="Neutral" xfId="7" builtinId="28" customBuiltin="1"/>
    <cellStyle name="Neutral 2" xfId="145" xr:uid="{00000000-0005-0000-0000-000080000000}"/>
    <cellStyle name="NJS" xfId="146" xr:uid="{00000000-0005-0000-0000-000081000000}"/>
    <cellStyle name="No Error" xfId="64" xr:uid="{00000000-0005-0000-0000-000082000000}"/>
    <cellStyle name="Normal" xfId="0" builtinId="0" customBuiltin="1"/>
    <cellStyle name="Normal 2" xfId="65" xr:uid="{00000000-0005-0000-0000-000084000000}"/>
    <cellStyle name="Normal 2 2" xfId="66" xr:uid="{00000000-0005-0000-0000-000085000000}"/>
    <cellStyle name="Normal 2 3" xfId="164" xr:uid="{00000000-0005-0000-0000-000086000000}"/>
    <cellStyle name="Normal 3" xfId="67" xr:uid="{00000000-0005-0000-0000-000087000000}"/>
    <cellStyle name="Normal 3 2" xfId="147" xr:uid="{00000000-0005-0000-0000-000088000000}"/>
    <cellStyle name="Normal 4" xfId="72" xr:uid="{00000000-0005-0000-0000-000089000000}"/>
    <cellStyle name="Normal 4 2" xfId="78" xr:uid="{00000000-0005-0000-0000-00008A000000}"/>
    <cellStyle name="Normal 4 2 2" xfId="159" xr:uid="{00000000-0005-0000-0000-00008B000000}"/>
    <cellStyle name="Normal 5" xfId="79" xr:uid="{00000000-0005-0000-0000-00008C000000}"/>
    <cellStyle name="Normal 5 2" xfId="148" xr:uid="{00000000-0005-0000-0000-00008D000000}"/>
    <cellStyle name="Normal 6" xfId="80" xr:uid="{00000000-0005-0000-0000-00008E000000}"/>
    <cellStyle name="Normal 7" xfId="149" xr:uid="{00000000-0005-0000-0000-00008F000000}"/>
    <cellStyle name="Normal 8" xfId="150" xr:uid="{00000000-0005-0000-0000-000090000000}"/>
    <cellStyle name="Normal 9" xfId="160" xr:uid="{00000000-0005-0000-0000-000091000000}"/>
    <cellStyle name="Note 2" xfId="68" xr:uid="{00000000-0005-0000-0000-000092000000}"/>
    <cellStyle name="Output" xfId="9" builtinId="21" customBuiltin="1"/>
    <cellStyle name="Output 2" xfId="151" xr:uid="{00000000-0005-0000-0000-000094000000}"/>
    <cellStyle name="Percent" xfId="166" builtinId="5"/>
    <cellStyle name="Percent 2" xfId="73" xr:uid="{00000000-0005-0000-0000-000096000000}"/>
    <cellStyle name="Percent 2 2" xfId="152" xr:uid="{00000000-0005-0000-0000-000097000000}"/>
    <cellStyle name="Percent 3" xfId="81" xr:uid="{00000000-0005-0000-0000-000098000000}"/>
    <cellStyle name="Percent 4" xfId="83" xr:uid="{00000000-0005-0000-0000-000099000000}"/>
    <cellStyle name="Percent 4 2" xfId="82" xr:uid="{00000000-0005-0000-0000-00009A000000}"/>
    <cellStyle name="Percent 5" xfId="153" xr:uid="{00000000-0005-0000-0000-00009B000000}"/>
    <cellStyle name="Style 1" xfId="69" xr:uid="{00000000-0005-0000-0000-00009C000000}"/>
    <cellStyle name="Title 2" xfId="154" xr:uid="{00000000-0005-0000-0000-00009D000000}"/>
    <cellStyle name="Total" xfId="15" builtinId="25" customBuiltin="1"/>
    <cellStyle name="Total 2" xfId="155" xr:uid="{00000000-0005-0000-0000-00009F000000}"/>
    <cellStyle name="True" xfId="70" xr:uid="{00000000-0005-0000-0000-0000A0000000}"/>
    <cellStyle name="True 2" xfId="165" xr:uid="{00000000-0005-0000-0000-0000A1000000}"/>
    <cellStyle name="Unique Formula" xfId="71" xr:uid="{00000000-0005-0000-0000-0000A2000000}"/>
    <cellStyle name="Warning Text" xfId="13" builtinId="11" customBuiltin="1"/>
    <cellStyle name="Warning Text 2" xfId="156" xr:uid="{00000000-0005-0000-0000-0000A4000000}"/>
    <cellStyle name="white_text_on_blue" xfId="157" xr:uid="{00000000-0005-0000-0000-0000A5000000}"/>
    <cellStyle name="year_formats_pink" xfId="158" xr:uid="{00000000-0005-0000-0000-0000A6000000}"/>
  </cellStyles>
  <dxfs count="6"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b val="0"/>
        <i val="0"/>
        <strike val="0"/>
        <color rgb="FFFFC000"/>
      </font>
      <fill>
        <patternFill>
          <bgColor rgb="FFFFC000"/>
        </patternFill>
      </fill>
    </dxf>
    <dxf>
      <font>
        <b val="0"/>
        <i val="0"/>
        <strike val="0"/>
        <color rgb="FF92D05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wat 2016">
  <a:themeElements>
    <a:clrScheme name="Ofwat 2015">
      <a:dk1>
        <a:sysClr val="windowText" lastClr="000000"/>
      </a:dk1>
      <a:lt1>
        <a:sysClr val="window" lastClr="FFFFFF"/>
      </a:lt1>
      <a:dk2>
        <a:srgbClr val="003479"/>
      </a:dk2>
      <a:lt2>
        <a:srgbClr val="FFFFFF"/>
      </a:lt2>
      <a:accent1>
        <a:srgbClr val="0078C9"/>
      </a:accent1>
      <a:accent2>
        <a:srgbClr val="857362"/>
      </a:accent2>
      <a:accent3>
        <a:srgbClr val="F4AA00"/>
      </a:accent3>
      <a:accent4>
        <a:srgbClr val="709500"/>
      </a:accent4>
      <a:accent5>
        <a:srgbClr val="CA0083"/>
      </a:accent5>
      <a:accent6>
        <a:srgbClr val="FE4819"/>
      </a:accent6>
      <a:hlink>
        <a:srgbClr val="0078C9"/>
      </a:hlink>
      <a:folHlink>
        <a:srgbClr val="CA0083"/>
      </a:folHlink>
    </a:clrScheme>
    <a:fontScheme name="Ofwat 2015">
      <a:majorFont>
        <a:latin typeface="Franklin Gothic Demi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wat 2016" id="{A420DE61-A4E8-4DB5-890E-1E2F09860D19}" vid="{7B41E948-0C9A-4054-BED8-27FCA73304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</sheetPr>
  <dimension ref="A1:XFC39"/>
  <sheetViews>
    <sheetView showGridLines="0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ColWidth="0" defaultRowHeight="12.5"/>
  <cols>
    <col min="1" max="2" width="9.1796875" customWidth="1"/>
    <col min="3" max="4" width="50.7265625" style="94" customWidth="1"/>
    <col min="5" max="5" width="15.81640625" style="94" customWidth="1"/>
    <col min="6" max="6" width="14.7265625" style="94" customWidth="1"/>
    <col min="7" max="7" width="0" hidden="1" customWidth="1"/>
    <col min="8" max="16383" width="9.1796875" hidden="1"/>
    <col min="16384" max="16384" width="9" hidden="1" customWidth="1"/>
  </cols>
  <sheetData>
    <row r="1" spans="1:6" s="14" customFormat="1" ht="32.5">
      <c r="A1" s="25" t="s">
        <v>0</v>
      </c>
      <c r="B1" s="25"/>
      <c r="C1" s="25"/>
      <c r="D1" s="25"/>
      <c r="E1" s="25"/>
      <c r="F1" s="25"/>
    </row>
    <row r="2" spans="1:6">
      <c r="A2" s="15"/>
      <c r="B2" s="15"/>
      <c r="C2" s="105"/>
      <c r="D2" s="105"/>
      <c r="E2" s="105"/>
      <c r="F2" s="105"/>
    </row>
    <row r="3" spans="1:6" ht="15.5">
      <c r="A3" s="15"/>
      <c r="B3" s="104" t="s">
        <v>1</v>
      </c>
      <c r="C3" s="104" t="s">
        <v>2</v>
      </c>
      <c r="D3" s="104" t="s">
        <v>3</v>
      </c>
      <c r="E3" s="104" t="s">
        <v>4</v>
      </c>
      <c r="F3" s="104" t="s">
        <v>5</v>
      </c>
    </row>
    <row r="4" spans="1:6">
      <c r="A4" s="15"/>
      <c r="B4" s="15"/>
      <c r="C4" s="105"/>
      <c r="D4" s="105"/>
      <c r="E4" s="105"/>
      <c r="F4" s="105"/>
    </row>
    <row r="5" spans="1:6" ht="129.75" customHeight="1">
      <c r="A5" s="15"/>
      <c r="B5" s="98">
        <v>1</v>
      </c>
      <c r="C5" s="99" t="s">
        <v>6</v>
      </c>
      <c r="D5" s="99" t="s">
        <v>7</v>
      </c>
      <c r="E5" s="99" t="s">
        <v>8</v>
      </c>
      <c r="F5" s="100" t="s">
        <v>9</v>
      </c>
    </row>
    <row r="6" spans="1:6" ht="124.5" customHeight="1">
      <c r="A6" s="15"/>
      <c r="B6" s="101">
        <v>2</v>
      </c>
      <c r="C6" s="96" t="s">
        <v>10</v>
      </c>
      <c r="D6" s="96" t="s">
        <v>11</v>
      </c>
      <c r="E6" s="96" t="s">
        <v>8</v>
      </c>
      <c r="F6" s="102" t="s">
        <v>12</v>
      </c>
    </row>
    <row r="7" spans="1:6" ht="72.75" customHeight="1">
      <c r="A7" s="15"/>
      <c r="B7" s="101">
        <v>3</v>
      </c>
      <c r="C7" s="96" t="s">
        <v>13</v>
      </c>
      <c r="D7" s="96" t="s">
        <v>14</v>
      </c>
      <c r="E7" s="96" t="s">
        <v>8</v>
      </c>
      <c r="F7" s="103" t="s">
        <v>15</v>
      </c>
    </row>
    <row r="8" spans="1:6" ht="108.75" customHeight="1">
      <c r="A8" s="15"/>
      <c r="B8" s="101">
        <v>4</v>
      </c>
      <c r="C8" s="97" t="s">
        <v>16</v>
      </c>
      <c r="D8" s="96" t="s">
        <v>17</v>
      </c>
      <c r="E8" s="96" t="s">
        <v>8</v>
      </c>
      <c r="F8" s="103" t="s">
        <v>15</v>
      </c>
    </row>
    <row r="9" spans="1:6" ht="25">
      <c r="A9" s="15"/>
      <c r="B9" s="98">
        <v>5</v>
      </c>
      <c r="C9" s="123" t="s">
        <v>18</v>
      </c>
      <c r="D9" s="124" t="s">
        <v>19</v>
      </c>
      <c r="E9" s="124" t="s">
        <v>20</v>
      </c>
      <c r="F9" s="100" t="s">
        <v>21</v>
      </c>
    </row>
    <row r="10" spans="1:6" ht="25">
      <c r="A10" s="15"/>
      <c r="B10" s="98">
        <v>6</v>
      </c>
      <c r="C10" s="123" t="s">
        <v>22</v>
      </c>
      <c r="D10" s="124" t="s">
        <v>23</v>
      </c>
      <c r="E10" s="124" t="s">
        <v>24</v>
      </c>
      <c r="F10" s="125" t="s">
        <v>25</v>
      </c>
    </row>
    <row r="11" spans="1:6" s="106" customFormat="1" ht="25">
      <c r="A11" s="15"/>
      <c r="B11" s="98">
        <v>7</v>
      </c>
      <c r="C11" s="124" t="s">
        <v>26</v>
      </c>
      <c r="D11" s="124" t="s">
        <v>27</v>
      </c>
      <c r="E11" s="123" t="s">
        <v>28</v>
      </c>
      <c r="F11" s="124" t="s">
        <v>29</v>
      </c>
    </row>
    <row r="12" spans="1:6" ht="62.5">
      <c r="A12" s="15"/>
      <c r="B12" s="124">
        <v>8</v>
      </c>
      <c r="C12" s="123" t="s">
        <v>30</v>
      </c>
      <c r="D12" s="123" t="s">
        <v>31</v>
      </c>
      <c r="E12" s="123" t="s">
        <v>32</v>
      </c>
      <c r="F12" s="123" t="s">
        <v>33</v>
      </c>
    </row>
    <row r="13" spans="1:6" ht="25">
      <c r="A13" s="15"/>
      <c r="B13" s="124">
        <v>9</v>
      </c>
      <c r="C13" s="123" t="s">
        <v>34</v>
      </c>
      <c r="D13" s="123" t="s">
        <v>35</v>
      </c>
      <c r="E13" s="123" t="s">
        <v>28</v>
      </c>
      <c r="F13" s="123" t="s">
        <v>36</v>
      </c>
    </row>
    <row r="14" spans="1:6" ht="37.5">
      <c r="A14" s="15"/>
      <c r="B14" s="124">
        <v>10</v>
      </c>
      <c r="C14" s="123" t="s">
        <v>37</v>
      </c>
      <c r="D14" s="123" t="s">
        <v>38</v>
      </c>
      <c r="E14" s="123" t="s">
        <v>28</v>
      </c>
      <c r="F14" s="123" t="s">
        <v>39</v>
      </c>
    </row>
    <row r="15" spans="1:6" ht="37.5">
      <c r="A15" s="138"/>
      <c r="B15" s="124">
        <v>11</v>
      </c>
      <c r="C15" s="123" t="s">
        <v>40</v>
      </c>
      <c r="D15" s="123" t="s">
        <v>41</v>
      </c>
      <c r="E15" s="123" t="s">
        <v>42</v>
      </c>
      <c r="F15" s="123" t="s">
        <v>43</v>
      </c>
    </row>
    <row r="16" spans="1:6">
      <c r="A16" s="138">
        <v>43070</v>
      </c>
      <c r="B16" s="131">
        <v>12</v>
      </c>
      <c r="C16" s="132" t="s">
        <v>44</v>
      </c>
      <c r="D16" s="132" t="s">
        <v>45</v>
      </c>
      <c r="E16" s="131" t="s">
        <v>46</v>
      </c>
      <c r="F16" s="131" t="s">
        <v>47</v>
      </c>
    </row>
    <row r="17" spans="1:6">
      <c r="A17" s="138">
        <v>43070</v>
      </c>
      <c r="B17" s="131">
        <v>13</v>
      </c>
      <c r="C17" s="132" t="s">
        <v>48</v>
      </c>
      <c r="D17" s="132" t="s">
        <v>49</v>
      </c>
      <c r="E17" s="131" t="s">
        <v>46</v>
      </c>
      <c r="F17" s="131" t="s">
        <v>50</v>
      </c>
    </row>
    <row r="18" spans="1:6" ht="25">
      <c r="A18" s="138">
        <v>43070</v>
      </c>
      <c r="B18" s="131">
        <v>14</v>
      </c>
      <c r="C18" s="132" t="s">
        <v>51</v>
      </c>
      <c r="D18" s="132" t="s">
        <v>232</v>
      </c>
      <c r="E18" s="131" t="s">
        <v>46</v>
      </c>
      <c r="F18" s="132" t="s">
        <v>52</v>
      </c>
    </row>
    <row r="19" spans="1:6" ht="37.5">
      <c r="A19" s="138">
        <v>43070</v>
      </c>
      <c r="B19" s="131">
        <v>15</v>
      </c>
      <c r="C19" s="132" t="s">
        <v>53</v>
      </c>
      <c r="D19" s="132" t="s">
        <v>54</v>
      </c>
      <c r="E19" s="131" t="s">
        <v>24</v>
      </c>
      <c r="F19" s="132" t="s">
        <v>55</v>
      </c>
    </row>
    <row r="20" spans="1:6" ht="77.150000000000006" customHeight="1">
      <c r="A20" s="138">
        <v>43070</v>
      </c>
      <c r="B20" s="131">
        <v>16</v>
      </c>
      <c r="C20" s="132" t="s">
        <v>235</v>
      </c>
      <c r="D20" s="132" t="s">
        <v>237</v>
      </c>
      <c r="E20" s="132" t="s">
        <v>236</v>
      </c>
      <c r="F20" s="132" t="s">
        <v>238</v>
      </c>
    </row>
    <row r="21" spans="1:6" ht="62.5">
      <c r="A21" s="138">
        <v>43252</v>
      </c>
      <c r="B21" s="133">
        <v>17</v>
      </c>
      <c r="C21" s="134" t="s">
        <v>251</v>
      </c>
      <c r="D21" s="134" t="s">
        <v>252</v>
      </c>
      <c r="E21" s="134" t="s">
        <v>28</v>
      </c>
      <c r="F21" s="134" t="s">
        <v>253</v>
      </c>
    </row>
    <row r="22" spans="1:6">
      <c r="A22" s="15"/>
      <c r="B22" s="15"/>
      <c r="C22" s="105"/>
      <c r="D22" s="105"/>
      <c r="E22" s="105"/>
      <c r="F22" s="105"/>
    </row>
    <row r="23" spans="1:6">
      <c r="A23" s="15"/>
      <c r="B23" s="15"/>
      <c r="C23" s="105"/>
      <c r="D23" s="105"/>
      <c r="E23" s="105"/>
      <c r="F23" s="105"/>
    </row>
    <row r="24" spans="1:6">
      <c r="A24" s="15"/>
      <c r="B24" s="15"/>
      <c r="C24" s="105"/>
      <c r="D24" s="105"/>
      <c r="E24" s="105"/>
      <c r="F24" s="105"/>
    </row>
    <row r="25" spans="1:6">
      <c r="A25" s="15"/>
      <c r="B25" s="15"/>
      <c r="C25" s="105"/>
      <c r="D25" s="105"/>
      <c r="E25" s="105"/>
      <c r="F25" s="105"/>
    </row>
    <row r="26" spans="1:6">
      <c r="A26" s="15"/>
      <c r="B26" s="15"/>
      <c r="C26" s="105"/>
      <c r="D26" s="105"/>
      <c r="E26" s="105"/>
      <c r="F26" s="105"/>
    </row>
    <row r="27" spans="1:6">
      <c r="A27" s="15"/>
      <c r="B27" s="15"/>
      <c r="C27" s="105"/>
      <c r="D27" s="105"/>
      <c r="E27" s="105"/>
      <c r="F27" s="105"/>
    </row>
    <row r="28" spans="1:6">
      <c r="A28" s="15"/>
      <c r="B28" s="15"/>
      <c r="C28" s="105"/>
      <c r="D28" s="105"/>
      <c r="E28" s="105"/>
      <c r="F28" s="105"/>
    </row>
    <row r="29" spans="1:6">
      <c r="A29" s="15"/>
      <c r="B29" s="15"/>
      <c r="C29" s="105"/>
      <c r="D29" s="105"/>
      <c r="E29" s="105"/>
      <c r="F29" s="105"/>
    </row>
    <row r="30" spans="1:6">
      <c r="A30" s="15"/>
      <c r="B30" s="15"/>
      <c r="C30" s="105"/>
      <c r="D30" s="105"/>
      <c r="E30" s="105"/>
      <c r="F30" s="105"/>
    </row>
    <row r="31" spans="1:6">
      <c r="A31" s="15"/>
      <c r="B31" s="15"/>
      <c r="C31" s="105"/>
      <c r="D31" s="105"/>
      <c r="E31" s="105"/>
      <c r="F31" s="105"/>
    </row>
    <row r="32" spans="1:6">
      <c r="A32" s="15"/>
      <c r="B32" s="15"/>
      <c r="C32" s="105"/>
      <c r="D32" s="105"/>
      <c r="E32" s="105"/>
      <c r="F32" s="105"/>
    </row>
    <row r="33" spans="1:6">
      <c r="A33" s="15"/>
      <c r="B33" s="15"/>
      <c r="C33" s="105"/>
      <c r="D33" s="105"/>
      <c r="E33" s="105"/>
      <c r="F33" s="105"/>
    </row>
    <row r="34" spans="1:6">
      <c r="A34" s="15"/>
      <c r="B34" s="15"/>
      <c r="C34" s="105"/>
      <c r="D34" s="105"/>
      <c r="E34" s="105"/>
      <c r="F34" s="105"/>
    </row>
    <row r="35" spans="1:6">
      <c r="A35" s="15"/>
      <c r="B35" s="15"/>
      <c r="C35" s="105"/>
      <c r="D35" s="105"/>
      <c r="E35" s="105"/>
      <c r="F35" s="105"/>
    </row>
    <row r="36" spans="1:6">
      <c r="A36" s="15"/>
      <c r="B36" s="15"/>
      <c r="C36" s="105"/>
      <c r="D36" s="105"/>
      <c r="E36" s="105"/>
      <c r="F36" s="105"/>
    </row>
    <row r="37" spans="1:6">
      <c r="A37" s="15"/>
      <c r="B37" s="15"/>
      <c r="C37" s="105"/>
      <c r="D37" s="105"/>
      <c r="E37" s="105"/>
      <c r="F37" s="105"/>
    </row>
    <row r="38" spans="1:6">
      <c r="A38" s="15"/>
      <c r="B38" s="15"/>
      <c r="C38" s="105"/>
      <c r="D38" s="105"/>
      <c r="E38" s="105"/>
      <c r="F38" s="105"/>
    </row>
    <row r="39" spans="1:6">
      <c r="A39" s="15"/>
      <c r="B39" s="15"/>
      <c r="C39" s="105"/>
      <c r="D39" s="105"/>
      <c r="E39" s="105"/>
      <c r="F39" s="105"/>
    </row>
  </sheetData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customWidth="1"/>
    <col min="3" max="3" width="8" hidden="1" customWidth="1"/>
    <col min="4" max="4" width="9.1796875" hidden="1" customWidth="1"/>
    <col min="5" max="5" width="27" hidden="1" customWidth="1"/>
    <col min="6" max="8" width="9.1796875" hidden="1" customWidth="1"/>
    <col min="9" max="24" width="10.81640625" hidden="1" customWidth="1"/>
    <col min="25" max="16384" width="9.1796875" hidden="1"/>
  </cols>
  <sheetData>
    <row r="1" spans="1:24" ht="15.75" customHeight="1">
      <c r="A1" s="29"/>
    </row>
    <row r="2" spans="1:24" ht="14">
      <c r="A2" s="30"/>
      <c r="B2" s="30"/>
      <c r="C2" s="30"/>
      <c r="D2" s="2"/>
      <c r="E2" s="2"/>
      <c r="F2" s="15"/>
      <c r="G2" s="15"/>
      <c r="H2" s="2"/>
      <c r="I2" s="2"/>
      <c r="J2" s="2"/>
      <c r="K2" s="2"/>
      <c r="L2" s="2"/>
      <c r="M2" s="2"/>
      <c r="N2" s="2"/>
      <c r="O2" s="15"/>
      <c r="P2" s="15"/>
      <c r="Q2" s="2"/>
      <c r="R2" s="2"/>
      <c r="S2" s="2"/>
      <c r="T2" s="2"/>
      <c r="U2" s="2"/>
      <c r="V2" s="2"/>
      <c r="W2" s="2"/>
      <c r="X2" s="2"/>
    </row>
    <row r="3" spans="1:24" ht="14" hidden="1">
      <c r="A3" s="30"/>
      <c r="B3" s="30"/>
      <c r="C3" s="30"/>
      <c r="D3" s="2"/>
      <c r="E3" s="2"/>
      <c r="F3" s="15"/>
      <c r="G3" s="15"/>
      <c r="H3" s="2"/>
      <c r="I3" s="2"/>
      <c r="J3" s="2"/>
      <c r="K3" s="2"/>
      <c r="L3" s="2"/>
      <c r="M3" s="2"/>
      <c r="N3" s="2"/>
      <c r="O3" s="15"/>
      <c r="P3" s="15"/>
      <c r="Q3" s="2"/>
      <c r="R3" s="2"/>
      <c r="S3" s="2"/>
      <c r="T3" s="2"/>
      <c r="U3" s="2"/>
      <c r="V3" s="2"/>
      <c r="W3" s="2"/>
      <c r="X3" s="2"/>
    </row>
    <row r="4" spans="1:24" ht="14" hidden="1">
      <c r="A4" s="30"/>
      <c r="B4" s="30"/>
      <c r="C4" s="30"/>
      <c r="D4" s="2"/>
      <c r="E4" s="2"/>
      <c r="F4" s="15"/>
      <c r="G4" s="15"/>
      <c r="H4" s="2"/>
      <c r="I4" s="2"/>
      <c r="J4" s="2"/>
      <c r="K4" s="2"/>
      <c r="L4" s="2"/>
      <c r="M4" s="2"/>
      <c r="N4" s="2"/>
      <c r="O4" s="15"/>
      <c r="P4" s="15"/>
      <c r="Q4" s="2"/>
      <c r="R4" s="2"/>
      <c r="S4" s="2"/>
      <c r="T4" s="2"/>
      <c r="U4" s="2"/>
      <c r="V4" s="2"/>
      <c r="W4" s="2"/>
      <c r="X4" s="2"/>
    </row>
    <row r="5" spans="1:24" ht="14" hidden="1">
      <c r="A5" s="30"/>
      <c r="B5" s="30"/>
      <c r="C5" s="30"/>
      <c r="D5" s="2"/>
      <c r="E5" s="2"/>
      <c r="F5" s="15"/>
      <c r="G5" s="15"/>
      <c r="H5" s="2"/>
      <c r="I5" s="2"/>
      <c r="J5" s="2"/>
      <c r="K5" s="2"/>
      <c r="L5" s="2"/>
      <c r="M5" s="2"/>
      <c r="N5" s="2"/>
      <c r="O5" s="15"/>
      <c r="P5" s="15"/>
      <c r="Q5" s="2"/>
      <c r="R5" s="2"/>
      <c r="S5" s="2"/>
      <c r="T5" s="2"/>
      <c r="U5" s="2"/>
      <c r="V5" s="2"/>
      <c r="W5" s="2"/>
      <c r="X5" s="2"/>
    </row>
    <row r="6" spans="1:24" ht="14" hidden="1">
      <c r="A6" s="30"/>
      <c r="B6" s="30"/>
      <c r="C6" s="30"/>
      <c r="D6" s="2"/>
      <c r="E6" s="2"/>
      <c r="F6" s="15"/>
      <c r="G6" s="15"/>
      <c r="H6" s="2"/>
      <c r="I6" s="2"/>
      <c r="J6" s="2"/>
      <c r="K6" s="2"/>
      <c r="L6" s="2"/>
      <c r="M6" s="2"/>
      <c r="N6" s="2"/>
      <c r="O6" s="15"/>
      <c r="P6" s="15"/>
      <c r="Q6" s="2"/>
      <c r="R6" s="2"/>
      <c r="S6" s="2"/>
      <c r="T6" s="2"/>
      <c r="U6" s="2"/>
      <c r="V6" s="2"/>
      <c r="W6" s="2"/>
      <c r="X6" s="2"/>
    </row>
    <row r="7" spans="1:24" ht="14" hidden="1">
      <c r="A7" s="30"/>
      <c r="B7" s="30"/>
      <c r="C7" s="30"/>
      <c r="D7" s="2"/>
      <c r="E7" s="2"/>
      <c r="F7" s="15"/>
      <c r="G7" s="15"/>
      <c r="H7" s="2"/>
      <c r="I7" s="2"/>
      <c r="J7" s="2"/>
      <c r="K7" s="2"/>
      <c r="L7" s="2"/>
      <c r="M7" s="2"/>
      <c r="N7" s="2"/>
      <c r="O7" s="15"/>
      <c r="P7" s="15"/>
      <c r="Q7" s="2"/>
      <c r="R7" s="2"/>
      <c r="S7" s="2"/>
      <c r="T7" s="2"/>
      <c r="U7" s="2"/>
      <c r="V7" s="2"/>
      <c r="W7" s="2"/>
      <c r="X7" s="2"/>
    </row>
    <row r="8" spans="1:24" ht="14" hidden="1">
      <c r="A8" s="30"/>
      <c r="B8" s="30"/>
      <c r="C8" s="30"/>
      <c r="D8" s="2"/>
      <c r="E8" s="2"/>
      <c r="F8" s="15"/>
      <c r="G8" s="15"/>
      <c r="H8" s="2"/>
      <c r="I8" s="2"/>
      <c r="J8" s="2"/>
      <c r="K8" s="2"/>
      <c r="L8" s="2"/>
      <c r="M8" s="2"/>
      <c r="N8" s="2"/>
      <c r="O8" s="15"/>
      <c r="P8" s="15"/>
      <c r="Q8" s="2"/>
      <c r="R8" s="2"/>
      <c r="S8" s="2"/>
      <c r="T8" s="2"/>
      <c r="U8" s="2"/>
      <c r="V8" s="2"/>
      <c r="W8" s="2"/>
      <c r="X8" s="2"/>
    </row>
    <row r="9" spans="1:24" ht="14" hidden="1">
      <c r="A9" s="30"/>
      <c r="B9" s="30"/>
      <c r="C9" s="30"/>
      <c r="D9" s="2"/>
      <c r="E9" s="2"/>
      <c r="F9" s="15"/>
      <c r="G9" s="15"/>
      <c r="H9" s="2"/>
      <c r="I9" s="2"/>
      <c r="J9" s="2"/>
      <c r="K9" s="2"/>
      <c r="L9" s="2"/>
      <c r="M9" s="2"/>
      <c r="N9" s="2"/>
      <c r="O9" s="15"/>
      <c r="P9" s="15"/>
      <c r="Q9" s="2"/>
      <c r="R9" s="2"/>
      <c r="S9" s="2"/>
      <c r="T9" s="2"/>
      <c r="U9" s="2"/>
      <c r="V9" s="2"/>
      <c r="W9" s="2"/>
      <c r="X9" s="2"/>
    </row>
    <row r="10" spans="1:24" ht="14" hidden="1">
      <c r="A10" s="30"/>
      <c r="B10" s="30"/>
      <c r="C10" s="30"/>
      <c r="D10" s="2"/>
      <c r="E10" s="2"/>
      <c r="F10" s="15"/>
      <c r="G10" s="15"/>
      <c r="H10" s="2"/>
      <c r="I10" s="2"/>
      <c r="J10" s="2"/>
      <c r="K10" s="2"/>
      <c r="L10" s="2"/>
      <c r="M10" s="2"/>
      <c r="N10" s="2"/>
      <c r="O10" s="15"/>
      <c r="P10" s="15"/>
      <c r="Q10" s="2"/>
      <c r="R10" s="2"/>
      <c r="S10" s="2"/>
      <c r="T10" s="2"/>
      <c r="U10" s="2"/>
      <c r="V10" s="2"/>
      <c r="W10" s="2"/>
      <c r="X10" s="2"/>
    </row>
    <row r="11" spans="1:24" ht="14" hidden="1">
      <c r="A11" s="30"/>
      <c r="B11" s="30"/>
      <c r="C11" s="30"/>
      <c r="D11" s="2"/>
      <c r="E11" s="2"/>
      <c r="F11" s="15"/>
      <c r="G11" s="15"/>
      <c r="H11" s="2"/>
      <c r="I11" s="2"/>
      <c r="J11" s="2"/>
      <c r="K11" s="2"/>
      <c r="L11" s="2"/>
      <c r="M11" s="2"/>
      <c r="N11" s="2"/>
      <c r="O11" s="15"/>
      <c r="P11" s="15"/>
      <c r="Q11" s="2"/>
      <c r="R11" s="2"/>
      <c r="S11" s="2"/>
      <c r="T11" s="2"/>
      <c r="U11" s="2"/>
      <c r="V11" s="2"/>
      <c r="W11" s="2"/>
      <c r="X11" s="2"/>
    </row>
    <row r="12" spans="1:24" ht="14" hidden="1">
      <c r="A12" s="30"/>
      <c r="B12" s="30"/>
      <c r="C12" s="30"/>
      <c r="D12" s="2"/>
      <c r="E12" s="2"/>
      <c r="F12" s="15"/>
      <c r="G12" s="15"/>
      <c r="H12" s="2"/>
      <c r="I12" s="2"/>
      <c r="J12" s="2"/>
      <c r="K12" s="2"/>
      <c r="L12" s="2"/>
      <c r="M12" s="2"/>
      <c r="N12" s="2"/>
      <c r="O12" s="15"/>
      <c r="P12" s="15"/>
      <c r="Q12" s="2"/>
      <c r="R12" s="2"/>
      <c r="S12" s="2"/>
      <c r="T12" s="2"/>
      <c r="U12" s="2"/>
      <c r="V12" s="2"/>
      <c r="W12" s="2"/>
      <c r="X12" s="2"/>
    </row>
    <row r="13" spans="1:24" ht="14" hidden="1">
      <c r="A13" s="30"/>
      <c r="B13" s="30"/>
      <c r="C13" s="30"/>
      <c r="D13" s="2"/>
      <c r="E13" s="2"/>
      <c r="F13" s="15"/>
      <c r="G13" s="15"/>
      <c r="H13" s="2"/>
      <c r="I13" s="2"/>
      <c r="J13" s="2"/>
      <c r="K13" s="2"/>
      <c r="L13" s="2"/>
      <c r="M13" s="2"/>
      <c r="N13" s="2"/>
      <c r="O13" s="15"/>
      <c r="P13" s="15"/>
      <c r="Q13" s="2"/>
      <c r="R13" s="2"/>
      <c r="S13" s="2"/>
      <c r="T13" s="2"/>
      <c r="U13" s="2"/>
      <c r="V13" s="2"/>
      <c r="W13" s="2"/>
      <c r="X13" s="2"/>
    </row>
    <row r="14" spans="1:24" ht="14" hidden="1">
      <c r="A14" s="30"/>
      <c r="B14" s="30"/>
      <c r="C14" s="30"/>
      <c r="D14" s="2"/>
      <c r="E14" s="2"/>
      <c r="F14" s="15"/>
      <c r="G14" s="15"/>
      <c r="H14" s="2"/>
      <c r="I14" s="2"/>
      <c r="J14" s="2"/>
      <c r="K14" s="2"/>
      <c r="L14" s="2"/>
      <c r="M14" s="2"/>
      <c r="N14" s="2"/>
      <c r="O14" s="15"/>
      <c r="P14" s="15"/>
      <c r="Q14" s="2"/>
      <c r="R14" s="2"/>
      <c r="S14" s="2"/>
      <c r="T14" s="2"/>
      <c r="U14" s="2"/>
      <c r="V14" s="2"/>
      <c r="W14" s="2"/>
      <c r="X14" s="2"/>
    </row>
    <row r="15" spans="1:24" ht="14" hidden="1">
      <c r="A15" s="30"/>
      <c r="B15" s="30"/>
      <c r="C15" s="30"/>
      <c r="D15" s="2"/>
      <c r="E15" s="2"/>
      <c r="F15" s="15"/>
      <c r="G15" s="15"/>
      <c r="H15" s="2"/>
      <c r="I15" s="2"/>
      <c r="J15" s="2"/>
      <c r="K15" s="2"/>
      <c r="L15" s="2"/>
      <c r="M15" s="2"/>
      <c r="N15" s="2"/>
      <c r="O15" s="15"/>
      <c r="P15" s="15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>
    <pageSetUpPr fitToPage="1"/>
  </sheetPr>
  <dimension ref="A1:X11"/>
  <sheetViews>
    <sheetView showGridLines="0" zoomScale="75" zoomScaleNormal="75" workbookViewId="0">
      <pane xSplit="8" ySplit="7" topLeftCell="I8" activePane="bottomRight" state="frozen"/>
      <selection activeCell="A20" sqref="A20"/>
      <selection pane="topRight" activeCell="A20" sqref="A20"/>
      <selection pane="bottomLeft" activeCell="A20" sqref="A20"/>
      <selection pane="bottomRight" activeCell="I8" sqref="I8"/>
    </sheetView>
  </sheetViews>
  <sheetFormatPr defaultColWidth="0" defaultRowHeight="12.5" zeroHeight="1"/>
  <cols>
    <col min="1" max="3" width="2.7265625" style="3" customWidth="1"/>
    <col min="4" max="4" width="9.7265625" style="3" customWidth="1"/>
    <col min="5" max="5" width="18.26953125" style="3" customWidth="1"/>
    <col min="6" max="8" width="2.7265625" style="3" customWidth="1"/>
    <col min="9" max="15" width="10" style="3" customWidth="1"/>
    <col min="16" max="18" width="10.453125" style="3" customWidth="1"/>
    <col min="19" max="21" width="10.81640625" style="3" customWidth="1"/>
    <col min="22" max="22" width="15.81640625" style="3" customWidth="1"/>
    <col min="23" max="24" width="0" style="3" hidden="1" customWidth="1"/>
    <col min="25" max="16384" width="9.1796875" style="3" hidden="1"/>
  </cols>
  <sheetData>
    <row r="1" spans="1:22" ht="32.5">
      <c r="A1" s="1"/>
      <c r="B1" s="1"/>
      <c r="C1" s="1"/>
      <c r="D1" s="25" t="s">
        <v>215</v>
      </c>
      <c r="E1" s="2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4">
      <c r="A2" s="2"/>
      <c r="B2" s="2"/>
      <c r="C2" s="2"/>
      <c r="D2" s="2"/>
      <c r="E2" s="2"/>
      <c r="F2" s="15"/>
      <c r="G2" s="15"/>
      <c r="H2" s="2"/>
      <c r="I2" s="2"/>
      <c r="J2" s="2"/>
      <c r="K2" s="2"/>
      <c r="L2" s="2"/>
      <c r="M2" s="15"/>
      <c r="N2" s="15"/>
      <c r="O2" s="2"/>
      <c r="P2" s="2"/>
      <c r="Q2" s="2"/>
      <c r="R2" s="2"/>
      <c r="S2" s="2"/>
      <c r="T2" s="2"/>
      <c r="U2" s="2"/>
      <c r="V2" s="15"/>
    </row>
    <row r="3" spans="1:22" ht="13">
      <c r="A3" s="15"/>
      <c r="B3" s="15"/>
      <c r="C3" s="15"/>
      <c r="D3" s="15"/>
      <c r="E3" s="15" t="s">
        <v>57</v>
      </c>
      <c r="F3" s="15"/>
      <c r="G3" s="15"/>
      <c r="H3" s="15"/>
      <c r="I3" s="4" t="s">
        <v>216</v>
      </c>
      <c r="J3" s="4" t="s">
        <v>217</v>
      </c>
      <c r="K3" s="4" t="s">
        <v>218</v>
      </c>
      <c r="L3" s="5" t="s">
        <v>219</v>
      </c>
      <c r="M3" s="5" t="s">
        <v>220</v>
      </c>
      <c r="N3" s="5" t="s">
        <v>221</v>
      </c>
      <c r="O3" s="5" t="s">
        <v>222</v>
      </c>
      <c r="P3" s="5" t="s">
        <v>223</v>
      </c>
      <c r="Q3" s="4" t="s">
        <v>224</v>
      </c>
      <c r="R3" s="4" t="s">
        <v>225</v>
      </c>
      <c r="S3" s="4" t="s">
        <v>226</v>
      </c>
      <c r="T3" s="4" t="s">
        <v>227</v>
      </c>
      <c r="U3" s="4" t="s">
        <v>228</v>
      </c>
      <c r="V3" s="12" t="s">
        <v>229</v>
      </c>
    </row>
    <row r="4" spans="1:22" ht="1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2"/>
    </row>
    <row r="5" spans="1:22" ht="13">
      <c r="A5" s="15"/>
      <c r="B5" s="15"/>
      <c r="C5" s="15"/>
      <c r="D5" s="15"/>
      <c r="E5" s="15" t="s">
        <v>58</v>
      </c>
      <c r="F5" s="15"/>
      <c r="G5" s="15"/>
      <c r="H5" s="15"/>
      <c r="I5" s="16">
        <v>2012</v>
      </c>
      <c r="J5" s="16">
        <v>2013</v>
      </c>
      <c r="K5" s="16">
        <v>2014</v>
      </c>
      <c r="L5" s="16">
        <v>2015</v>
      </c>
      <c r="M5" s="16">
        <v>2016</v>
      </c>
      <c r="N5" s="16">
        <v>2017</v>
      </c>
      <c r="O5" s="16">
        <v>2018</v>
      </c>
      <c r="P5" s="16">
        <v>2019</v>
      </c>
      <c r="Q5" s="16">
        <v>2020</v>
      </c>
      <c r="R5" s="16">
        <v>2021</v>
      </c>
      <c r="S5" s="16">
        <v>2022</v>
      </c>
      <c r="T5" s="16">
        <v>2023</v>
      </c>
      <c r="U5" s="16">
        <v>2024</v>
      </c>
      <c r="V5" s="12" t="s">
        <v>230</v>
      </c>
    </row>
    <row r="6" spans="1:22" ht="13">
      <c r="A6" s="15"/>
      <c r="B6" s="15"/>
      <c r="C6" s="15"/>
      <c r="D6" s="15"/>
      <c r="E6" s="15" t="s">
        <v>59</v>
      </c>
      <c r="F6" s="15"/>
      <c r="G6" s="15"/>
      <c r="H6" s="15"/>
      <c r="I6" s="15"/>
      <c r="J6" s="15"/>
      <c r="K6" s="6"/>
      <c r="L6" s="110">
        <v>1</v>
      </c>
      <c r="M6" s="110">
        <v>2</v>
      </c>
      <c r="N6" s="110">
        <v>3</v>
      </c>
      <c r="O6" s="110">
        <v>4</v>
      </c>
      <c r="P6" s="110">
        <v>5</v>
      </c>
      <c r="Q6" s="110">
        <v>6</v>
      </c>
      <c r="R6" s="110">
        <v>7</v>
      </c>
      <c r="S6" s="110">
        <v>8</v>
      </c>
      <c r="T6" s="110">
        <v>9</v>
      </c>
      <c r="U6" s="110">
        <v>10</v>
      </c>
      <c r="V6" s="15"/>
    </row>
    <row r="7" spans="1:2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13" thickBo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13.5" thickBot="1">
      <c r="A10" s="10" t="s">
        <v>111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customWidth="1"/>
    <col min="3" max="3" width="8" hidden="1" customWidth="1"/>
    <col min="4" max="4" width="9.1796875" hidden="1" customWidth="1"/>
    <col min="5" max="5" width="27" hidden="1" customWidth="1"/>
    <col min="6" max="8" width="9.1796875" hidden="1" customWidth="1"/>
    <col min="9" max="24" width="10.81640625" hidden="1" customWidth="1"/>
    <col min="25" max="16384" width="9.1796875" hidden="1"/>
  </cols>
  <sheetData>
    <row r="1" spans="1:24" ht="15.75" customHeight="1">
      <c r="A1" s="29"/>
    </row>
    <row r="2" spans="1:24" ht="14">
      <c r="A2" s="30"/>
      <c r="B2" s="30"/>
      <c r="C2" s="30"/>
      <c r="D2" s="2"/>
      <c r="E2" s="2"/>
      <c r="F2" s="15"/>
      <c r="G2" s="15"/>
      <c r="H2" s="2"/>
      <c r="I2" s="2"/>
      <c r="J2" s="2"/>
      <c r="K2" s="2"/>
      <c r="L2" s="2"/>
      <c r="M2" s="2"/>
      <c r="N2" s="2"/>
      <c r="O2" s="15"/>
      <c r="P2" s="15"/>
      <c r="Q2" s="2"/>
      <c r="R2" s="2"/>
      <c r="S2" s="2"/>
      <c r="T2" s="2"/>
      <c r="U2" s="2"/>
      <c r="V2" s="2"/>
      <c r="W2" s="2"/>
      <c r="X2" s="2"/>
    </row>
    <row r="3" spans="1:24" ht="14" hidden="1">
      <c r="A3" s="30"/>
      <c r="B3" s="30"/>
      <c r="C3" s="30"/>
      <c r="D3" s="2"/>
      <c r="E3" s="2"/>
      <c r="F3" s="15"/>
      <c r="G3" s="15"/>
      <c r="H3" s="2"/>
      <c r="I3" s="2"/>
      <c r="J3" s="2"/>
      <c r="K3" s="2"/>
      <c r="L3" s="2"/>
      <c r="M3" s="2"/>
      <c r="N3" s="2"/>
      <c r="O3" s="15"/>
      <c r="P3" s="15"/>
      <c r="Q3" s="2"/>
      <c r="R3" s="2"/>
      <c r="S3" s="2"/>
      <c r="T3" s="2"/>
      <c r="U3" s="2"/>
      <c r="V3" s="2"/>
      <c r="W3" s="2"/>
      <c r="X3" s="2"/>
    </row>
    <row r="4" spans="1:24" ht="14" hidden="1">
      <c r="A4" s="30"/>
      <c r="B4" s="30"/>
      <c r="C4" s="30"/>
      <c r="D4" s="2"/>
      <c r="E4" s="2"/>
      <c r="F4" s="15"/>
      <c r="G4" s="15"/>
      <c r="H4" s="2"/>
      <c r="I4" s="2"/>
      <c r="J4" s="2"/>
      <c r="K4" s="2"/>
      <c r="L4" s="2"/>
      <c r="M4" s="2"/>
      <c r="N4" s="2"/>
      <c r="O4" s="15"/>
      <c r="P4" s="15"/>
      <c r="Q4" s="2"/>
      <c r="R4" s="2"/>
      <c r="S4" s="2"/>
      <c r="T4" s="2"/>
      <c r="U4" s="2"/>
      <c r="V4" s="2"/>
      <c r="W4" s="2"/>
      <c r="X4" s="2"/>
    </row>
    <row r="5" spans="1:24" ht="14" hidden="1">
      <c r="A5" s="30"/>
      <c r="B5" s="30"/>
      <c r="C5" s="30"/>
      <c r="D5" s="2"/>
      <c r="E5" s="2"/>
      <c r="F5" s="15"/>
      <c r="G5" s="15"/>
      <c r="H5" s="2"/>
      <c r="I5" s="2"/>
      <c r="J5" s="2"/>
      <c r="K5" s="2"/>
      <c r="L5" s="2"/>
      <c r="M5" s="2"/>
      <c r="N5" s="2"/>
      <c r="O5" s="15"/>
      <c r="P5" s="15"/>
      <c r="Q5" s="2"/>
      <c r="R5" s="2"/>
      <c r="S5" s="2"/>
      <c r="T5" s="2"/>
      <c r="U5" s="2"/>
      <c r="V5" s="2"/>
      <c r="W5" s="2"/>
      <c r="X5" s="2"/>
    </row>
    <row r="6" spans="1:24" ht="14" hidden="1">
      <c r="A6" s="30"/>
      <c r="B6" s="30"/>
      <c r="C6" s="30"/>
      <c r="D6" s="2"/>
      <c r="E6" s="2"/>
      <c r="F6" s="15"/>
      <c r="G6" s="15"/>
      <c r="H6" s="2"/>
      <c r="I6" s="2"/>
      <c r="J6" s="2"/>
      <c r="K6" s="2"/>
      <c r="L6" s="2"/>
      <c r="M6" s="2"/>
      <c r="N6" s="2"/>
      <c r="O6" s="15"/>
      <c r="P6" s="15"/>
      <c r="Q6" s="2"/>
      <c r="R6" s="2"/>
      <c r="S6" s="2"/>
      <c r="T6" s="2"/>
      <c r="U6" s="2"/>
      <c r="V6" s="2"/>
      <c r="W6" s="2"/>
      <c r="X6" s="2"/>
    </row>
    <row r="7" spans="1:24" ht="14" hidden="1">
      <c r="A7" s="30"/>
      <c r="B7" s="30"/>
      <c r="C7" s="30"/>
      <c r="D7" s="2"/>
      <c r="E7" s="2"/>
      <c r="F7" s="15"/>
      <c r="G7" s="15"/>
      <c r="H7" s="2"/>
      <c r="I7" s="2"/>
      <c r="J7" s="2"/>
      <c r="K7" s="2"/>
      <c r="L7" s="2"/>
      <c r="M7" s="2"/>
      <c r="N7" s="2"/>
      <c r="O7" s="15"/>
      <c r="P7" s="15"/>
      <c r="Q7" s="2"/>
      <c r="R7" s="2"/>
      <c r="S7" s="2"/>
      <c r="T7" s="2"/>
      <c r="U7" s="2"/>
      <c r="V7" s="2"/>
      <c r="W7" s="2"/>
      <c r="X7" s="2"/>
    </row>
    <row r="8" spans="1:24" ht="14" hidden="1">
      <c r="A8" s="30"/>
      <c r="B8" s="30"/>
      <c r="C8" s="30"/>
      <c r="D8" s="2"/>
      <c r="E8" s="2"/>
      <c r="F8" s="15"/>
      <c r="G8" s="15"/>
      <c r="H8" s="2"/>
      <c r="I8" s="2"/>
      <c r="J8" s="2"/>
      <c r="K8" s="2"/>
      <c r="L8" s="2"/>
      <c r="M8" s="2"/>
      <c r="N8" s="2"/>
      <c r="O8" s="15"/>
      <c r="P8" s="15"/>
      <c r="Q8" s="2"/>
      <c r="R8" s="2"/>
      <c r="S8" s="2"/>
      <c r="T8" s="2"/>
      <c r="U8" s="2"/>
      <c r="V8" s="2"/>
      <c r="W8" s="2"/>
      <c r="X8" s="2"/>
    </row>
    <row r="9" spans="1:24" ht="14" hidden="1">
      <c r="A9" s="30"/>
      <c r="B9" s="30"/>
      <c r="C9" s="30"/>
      <c r="D9" s="2"/>
      <c r="E9" s="2"/>
      <c r="F9" s="15"/>
      <c r="G9" s="15"/>
      <c r="H9" s="2"/>
      <c r="I9" s="2"/>
      <c r="J9" s="2"/>
      <c r="K9" s="2"/>
      <c r="L9" s="2"/>
      <c r="M9" s="2"/>
      <c r="N9" s="2"/>
      <c r="O9" s="15"/>
      <c r="P9" s="15"/>
      <c r="Q9" s="2"/>
      <c r="R9" s="2"/>
      <c r="S9" s="2"/>
      <c r="T9" s="2"/>
      <c r="U9" s="2"/>
      <c r="V9" s="2"/>
      <c r="W9" s="2"/>
      <c r="X9" s="2"/>
    </row>
    <row r="10" spans="1:24" ht="14" hidden="1">
      <c r="A10" s="30"/>
      <c r="B10" s="30"/>
      <c r="C10" s="30"/>
      <c r="D10" s="2"/>
      <c r="E10" s="2"/>
      <c r="F10" s="15"/>
      <c r="G10" s="15"/>
      <c r="H10" s="2"/>
      <c r="I10" s="2"/>
      <c r="J10" s="2"/>
      <c r="K10" s="2"/>
      <c r="L10" s="2"/>
      <c r="M10" s="2"/>
      <c r="N10" s="2"/>
      <c r="O10" s="15"/>
      <c r="P10" s="15"/>
      <c r="Q10" s="2"/>
      <c r="R10" s="2"/>
      <c r="S10" s="2"/>
      <c r="T10" s="2"/>
      <c r="U10" s="2"/>
      <c r="V10" s="2"/>
      <c r="W10" s="2"/>
      <c r="X10" s="2"/>
    </row>
    <row r="11" spans="1:24" ht="14" hidden="1">
      <c r="A11" s="30"/>
      <c r="B11" s="30"/>
      <c r="C11" s="30"/>
      <c r="D11" s="2"/>
      <c r="E11" s="2"/>
      <c r="F11" s="15"/>
      <c r="G11" s="15"/>
      <c r="H11" s="2"/>
      <c r="I11" s="2"/>
      <c r="J11" s="2"/>
      <c r="K11" s="2"/>
      <c r="L11" s="2"/>
      <c r="M11" s="2"/>
      <c r="N11" s="2"/>
      <c r="O11" s="15"/>
      <c r="P11" s="15"/>
      <c r="Q11" s="2"/>
      <c r="R11" s="2"/>
      <c r="S11" s="2"/>
      <c r="T11" s="2"/>
      <c r="U11" s="2"/>
      <c r="V11" s="2"/>
      <c r="W11" s="2"/>
      <c r="X11" s="2"/>
    </row>
    <row r="12" spans="1:24" ht="14" hidden="1">
      <c r="A12" s="30"/>
      <c r="B12" s="30"/>
      <c r="C12" s="30"/>
      <c r="D12" s="2"/>
      <c r="E12" s="2"/>
      <c r="F12" s="15"/>
      <c r="G12" s="15"/>
      <c r="H12" s="2"/>
      <c r="I12" s="2"/>
      <c r="J12" s="2"/>
      <c r="K12" s="2"/>
      <c r="L12" s="2"/>
      <c r="M12" s="2"/>
      <c r="N12" s="2"/>
      <c r="O12" s="15"/>
      <c r="P12" s="15"/>
      <c r="Q12" s="2"/>
      <c r="R12" s="2"/>
      <c r="S12" s="2"/>
      <c r="T12" s="2"/>
      <c r="U12" s="2"/>
      <c r="V12" s="2"/>
      <c r="W12" s="2"/>
      <c r="X12" s="2"/>
    </row>
    <row r="13" spans="1:24" ht="14" hidden="1">
      <c r="A13" s="30"/>
      <c r="B13" s="30"/>
      <c r="C13" s="30"/>
      <c r="D13" s="2"/>
      <c r="E13" s="2"/>
      <c r="F13" s="15"/>
      <c r="G13" s="15"/>
      <c r="H13" s="2"/>
      <c r="I13" s="2"/>
      <c r="J13" s="2"/>
      <c r="K13" s="2"/>
      <c r="L13" s="2"/>
      <c r="M13" s="2"/>
      <c r="N13" s="2"/>
      <c r="O13" s="15"/>
      <c r="P13" s="15"/>
      <c r="Q13" s="2"/>
      <c r="R13" s="2"/>
      <c r="S13" s="2"/>
      <c r="T13" s="2"/>
      <c r="U13" s="2"/>
      <c r="V13" s="2"/>
      <c r="W13" s="2"/>
      <c r="X13" s="2"/>
    </row>
    <row r="14" spans="1:24" ht="14" hidden="1">
      <c r="A14" s="30"/>
      <c r="B14" s="30"/>
      <c r="C14" s="30"/>
      <c r="D14" s="2"/>
      <c r="E14" s="2"/>
      <c r="F14" s="15"/>
      <c r="G14" s="15"/>
      <c r="H14" s="2"/>
      <c r="I14" s="2"/>
      <c r="J14" s="2"/>
      <c r="K14" s="2"/>
      <c r="L14" s="2"/>
      <c r="M14" s="2"/>
      <c r="N14" s="2"/>
      <c r="O14" s="15"/>
      <c r="P14" s="15"/>
      <c r="Q14" s="2"/>
      <c r="R14" s="2"/>
      <c r="S14" s="2"/>
      <c r="T14" s="2"/>
      <c r="U14" s="2"/>
      <c r="V14" s="2"/>
      <c r="W14" s="2"/>
      <c r="X14" s="2"/>
    </row>
    <row r="15" spans="1:24" ht="14" hidden="1">
      <c r="A15" s="30"/>
      <c r="B15" s="30"/>
      <c r="C15" s="30"/>
      <c r="D15" s="2"/>
      <c r="E15" s="2"/>
      <c r="F15" s="15"/>
      <c r="G15" s="15"/>
      <c r="H15" s="2"/>
      <c r="I15" s="2"/>
      <c r="J15" s="2"/>
      <c r="K15" s="2"/>
      <c r="L15" s="2"/>
      <c r="M15" s="2"/>
      <c r="N15" s="2"/>
      <c r="O15" s="15"/>
      <c r="P15" s="15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  <pageSetUpPr fitToPage="1"/>
  </sheetPr>
  <dimension ref="A1:AE76"/>
  <sheetViews>
    <sheetView showGridLines="0" zoomScale="80" zoomScaleNormal="80" workbookViewId="0">
      <pane xSplit="8" ySplit="7" topLeftCell="I20" activePane="bottomRight" state="frozen"/>
      <selection activeCell="A20" sqref="A20"/>
      <selection pane="topRight" activeCell="A20" sqref="A20"/>
      <selection pane="bottomLeft" activeCell="A20" sqref="A20"/>
      <selection pane="bottomRight" activeCell="O28" sqref="O28"/>
    </sheetView>
  </sheetViews>
  <sheetFormatPr defaultColWidth="0" defaultRowHeight="12.5" zeroHeight="1"/>
  <cols>
    <col min="1" max="3" width="2.7265625" style="3" customWidth="1"/>
    <col min="4" max="4" width="9.7265625" style="3" customWidth="1"/>
    <col min="5" max="5" width="52.1796875" style="3" customWidth="1"/>
    <col min="6" max="6" width="17.7265625" style="32" customWidth="1"/>
    <col min="7" max="7" width="10.54296875" style="3" customWidth="1"/>
    <col min="8" max="8" width="10.453125" style="3" customWidth="1"/>
    <col min="9" max="11" width="10.1796875" style="3" customWidth="1"/>
    <col min="12" max="21" width="10.54296875" style="3" customWidth="1"/>
    <col min="22" max="22" width="16.54296875" style="3" customWidth="1"/>
    <col min="23" max="23" width="9.1796875" style="3" customWidth="1"/>
    <col min="24" max="31" width="0" style="3" hidden="1" customWidth="1"/>
    <col min="32" max="16384" width="9.1796875" style="3" hidden="1"/>
  </cols>
  <sheetData>
    <row r="1" spans="1:23" s="2" customFormat="1" ht="32.5">
      <c r="A1" s="25"/>
      <c r="B1" s="25"/>
      <c r="C1" s="25"/>
      <c r="D1" s="25" t="s">
        <v>56</v>
      </c>
      <c r="E1" s="25"/>
      <c r="F1" s="109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s="2" customFormat="1" ht="14">
      <c r="F2" s="32"/>
      <c r="G2" s="15"/>
      <c r="O2" s="15"/>
      <c r="P2" s="15"/>
    </row>
    <row r="3" spans="1:23" ht="13">
      <c r="A3" s="15"/>
      <c r="B3" s="15"/>
      <c r="C3" s="15"/>
      <c r="D3" s="15"/>
      <c r="E3" s="15" t="s">
        <v>57</v>
      </c>
      <c r="G3" s="15"/>
      <c r="H3" s="15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2"/>
      <c r="W3" s="15"/>
    </row>
    <row r="4" spans="1:23" ht="13">
      <c r="A4" s="110">
        <v>1</v>
      </c>
      <c r="B4" s="15"/>
      <c r="C4" s="15"/>
      <c r="D4" s="15"/>
      <c r="E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2"/>
      <c r="W4" s="15"/>
    </row>
    <row r="5" spans="1:23" ht="13">
      <c r="A5" s="15"/>
      <c r="B5" s="15"/>
      <c r="C5" s="15"/>
      <c r="D5" s="15"/>
      <c r="E5" s="15" t="s">
        <v>58</v>
      </c>
      <c r="G5" s="15"/>
      <c r="H5" s="15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12"/>
      <c r="W5" s="15"/>
    </row>
    <row r="6" spans="1:23" ht="13">
      <c r="A6" s="15"/>
      <c r="B6" s="15"/>
      <c r="C6" s="15"/>
      <c r="D6" s="15"/>
      <c r="E6" s="15" t="s">
        <v>59</v>
      </c>
      <c r="G6" s="15"/>
      <c r="H6" s="15"/>
      <c r="I6" s="15"/>
      <c r="J6" s="15"/>
      <c r="K6" s="6"/>
      <c r="L6" s="110">
        <v>1</v>
      </c>
      <c r="M6" s="110">
        <v>2</v>
      </c>
      <c r="N6" s="110">
        <v>3</v>
      </c>
      <c r="O6" s="110">
        <v>4</v>
      </c>
      <c r="P6" s="110">
        <v>5</v>
      </c>
      <c r="Q6" s="110">
        <v>6</v>
      </c>
      <c r="R6" s="110">
        <v>7</v>
      </c>
      <c r="S6" s="110">
        <v>8</v>
      </c>
      <c r="T6" s="110">
        <v>9</v>
      </c>
      <c r="U6" s="110">
        <v>10</v>
      </c>
      <c r="V6" s="15"/>
      <c r="W6" s="15"/>
    </row>
    <row r="7" spans="1:23">
      <c r="A7" s="15"/>
      <c r="B7" s="15"/>
      <c r="C7" s="15"/>
      <c r="D7" s="15"/>
      <c r="E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s="7" customFormat="1" ht="14">
      <c r="A8" s="111"/>
      <c r="B8" s="8"/>
      <c r="C8" s="8"/>
      <c r="D8" s="24"/>
      <c r="E8" s="112" t="s">
        <v>60</v>
      </c>
      <c r="F8" s="113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>
      <c r="A9" s="15"/>
      <c r="B9" s="15"/>
      <c r="C9" s="15"/>
      <c r="D9" s="15"/>
      <c r="E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15"/>
      <c r="B10" s="15"/>
      <c r="C10" s="15"/>
      <c r="D10" s="16" t="s">
        <v>61</v>
      </c>
      <c r="E10" s="15" t="s">
        <v>62</v>
      </c>
      <c r="G10" s="107" t="s">
        <v>254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15"/>
      <c r="B11" s="15"/>
      <c r="C11" s="15"/>
      <c r="D11" s="16" t="s">
        <v>61</v>
      </c>
      <c r="E11" s="15" t="s">
        <v>63</v>
      </c>
      <c r="G11" s="107" t="s">
        <v>255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15"/>
      <c r="B12" s="15"/>
      <c r="C12" s="15"/>
      <c r="D12" s="16" t="s">
        <v>64</v>
      </c>
      <c r="E12" s="15" t="s">
        <v>65</v>
      </c>
      <c r="G12" s="107" t="b">
        <v>1</v>
      </c>
      <c r="H12" s="15" t="s">
        <v>64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s="7" customFormat="1" ht="14">
      <c r="A13" s="111"/>
      <c r="B13" s="8"/>
      <c r="C13" s="8"/>
      <c r="D13" s="24"/>
      <c r="E13" s="112" t="s">
        <v>66</v>
      </c>
      <c r="F13" s="11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>
      <c r="A14" s="15"/>
      <c r="B14" s="15"/>
      <c r="C14" s="15"/>
      <c r="D14" s="15"/>
      <c r="E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ht="13">
      <c r="A15" s="15"/>
      <c r="B15" s="15"/>
      <c r="C15" s="15"/>
      <c r="D15" s="15"/>
      <c r="E15" s="9" t="s">
        <v>67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ht="13">
      <c r="A16" s="15"/>
      <c r="B16" s="15"/>
      <c r="C16" s="15"/>
      <c r="D16" s="16" t="s">
        <v>68</v>
      </c>
      <c r="E16" s="17" t="s">
        <v>69</v>
      </c>
      <c r="G16" s="114">
        <v>0.02</v>
      </c>
      <c r="H16" s="12" t="s">
        <v>70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ht="13">
      <c r="A17" s="15"/>
      <c r="B17" s="15"/>
      <c r="C17" s="15"/>
      <c r="D17" s="16" t="s">
        <v>68</v>
      </c>
      <c r="E17" s="17" t="s">
        <v>71</v>
      </c>
      <c r="G17" s="114">
        <v>0.03</v>
      </c>
      <c r="H17" s="12" t="s">
        <v>72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ht="13">
      <c r="A18" s="15"/>
      <c r="B18" s="15"/>
      <c r="C18" s="15"/>
      <c r="D18" s="16"/>
      <c r="E18" s="15"/>
      <c r="G18" s="15"/>
      <c r="H18" s="12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ht="13">
      <c r="A19" s="15"/>
      <c r="B19" s="15"/>
      <c r="C19" s="15"/>
      <c r="D19" s="16" t="s">
        <v>68</v>
      </c>
      <c r="E19" s="15" t="s">
        <v>73</v>
      </c>
      <c r="G19" s="114">
        <v>0.03</v>
      </c>
      <c r="H19" s="12" t="s">
        <v>74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customFormat="1" ht="13">
      <c r="D20" s="16" t="s">
        <v>68</v>
      </c>
      <c r="E20" s="15" t="s">
        <v>75</v>
      </c>
      <c r="F20" s="32"/>
      <c r="G20" s="114">
        <v>3.5999999999999997E-2</v>
      </c>
      <c r="H20" s="12" t="s">
        <v>76</v>
      </c>
    </row>
    <row r="21" spans="1:23" customFormat="1">
      <c r="F21" s="34"/>
      <c r="H21" s="15"/>
    </row>
    <row r="22" spans="1:23" customFormat="1" ht="13">
      <c r="D22" s="16" t="s">
        <v>68</v>
      </c>
      <c r="E22" s="15" t="s">
        <v>77</v>
      </c>
      <c r="F22" s="34"/>
      <c r="G22" s="114">
        <v>0.06</v>
      </c>
      <c r="H22" s="12" t="s">
        <v>78</v>
      </c>
    </row>
    <row r="23" spans="1:23">
      <c r="A23" s="15"/>
      <c r="B23" s="15"/>
      <c r="C23" s="15"/>
      <c r="D23" s="16"/>
      <c r="E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 s="7" customFormat="1" ht="14">
      <c r="A24" s="111"/>
      <c r="B24" s="8"/>
      <c r="C24" s="8"/>
      <c r="D24" s="115"/>
      <c r="E24" s="112" t="s">
        <v>79</v>
      </c>
      <c r="F24" s="113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1:23" customFormat="1">
      <c r="F25" s="34"/>
    </row>
    <row r="26" spans="1:23" ht="13">
      <c r="A26" s="15"/>
      <c r="B26" s="15"/>
      <c r="C26" s="15"/>
      <c r="D26" s="16"/>
      <c r="E26" s="9" t="s">
        <v>80</v>
      </c>
      <c r="G26" s="15"/>
      <c r="H26" s="15"/>
      <c r="I26" s="15"/>
      <c r="J26" s="15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12"/>
      <c r="W26" s="15"/>
    </row>
    <row r="27" spans="1:23" s="15" customFormat="1" ht="13">
      <c r="A27" s="120"/>
      <c r="B27" s="120"/>
      <c r="C27" s="120"/>
      <c r="D27" s="16" t="s">
        <v>81</v>
      </c>
      <c r="E27" s="17" t="s">
        <v>82</v>
      </c>
      <c r="F27" s="32" t="s">
        <v>83</v>
      </c>
      <c r="K27" s="140">
        <v>434.346</v>
      </c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12" t="s">
        <v>84</v>
      </c>
    </row>
    <row r="28" spans="1:23" s="15" customFormat="1" ht="13">
      <c r="A28" s="120"/>
      <c r="B28" s="120"/>
      <c r="C28" s="120"/>
      <c r="D28" s="16" t="s">
        <v>81</v>
      </c>
      <c r="E28" s="17" t="s">
        <v>85</v>
      </c>
      <c r="F28" s="32" t="s">
        <v>83</v>
      </c>
      <c r="K28" s="140">
        <v>637.02099999999996</v>
      </c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12" t="s">
        <v>86</v>
      </c>
    </row>
    <row r="29" spans="1:23" ht="13">
      <c r="A29" s="120"/>
      <c r="B29" s="120"/>
      <c r="C29" s="120"/>
      <c r="D29" s="16"/>
      <c r="E29" s="15"/>
      <c r="G29" s="15"/>
      <c r="H29" s="15"/>
      <c r="I29" s="15"/>
      <c r="J29" s="15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12"/>
      <c r="W29" s="15"/>
    </row>
    <row r="30" spans="1:23" ht="13">
      <c r="A30" s="120"/>
      <c r="B30" s="120"/>
      <c r="C30" s="120"/>
      <c r="D30" s="16"/>
      <c r="E30" s="9" t="s">
        <v>87</v>
      </c>
      <c r="G30" s="15"/>
      <c r="H30" s="15"/>
      <c r="I30" s="15"/>
      <c r="J30" s="15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12"/>
      <c r="W30" s="15"/>
    </row>
    <row r="31" spans="1:23" ht="13">
      <c r="A31" s="120"/>
      <c r="B31" s="120"/>
      <c r="C31" s="120"/>
      <c r="D31" s="16" t="s">
        <v>88</v>
      </c>
      <c r="E31" s="17" t="s">
        <v>89</v>
      </c>
      <c r="G31" s="15"/>
      <c r="H31" s="15"/>
      <c r="I31" s="15"/>
      <c r="J31" s="15"/>
      <c r="K31" s="27"/>
      <c r="L31" s="139">
        <v>0</v>
      </c>
      <c r="M31" s="139">
        <v>1.34</v>
      </c>
      <c r="N31" s="139">
        <v>1.05</v>
      </c>
      <c r="O31" s="139">
        <v>1.1900000000000002</v>
      </c>
      <c r="P31" s="139">
        <v>1.1599999999999999</v>
      </c>
      <c r="Q31" s="27"/>
      <c r="R31" s="27"/>
      <c r="S31" s="27"/>
      <c r="T31" s="27"/>
      <c r="U31" s="27"/>
      <c r="V31" s="12" t="s">
        <v>90</v>
      </c>
      <c r="W31" s="15"/>
    </row>
    <row r="32" spans="1:23" ht="13">
      <c r="A32" s="120"/>
      <c r="B32" s="120"/>
      <c r="C32" s="120"/>
      <c r="D32" s="16" t="s">
        <v>88</v>
      </c>
      <c r="E32" s="17" t="s">
        <v>91</v>
      </c>
      <c r="G32" s="15"/>
      <c r="H32" s="15"/>
      <c r="I32" s="15"/>
      <c r="J32" s="15"/>
      <c r="K32" s="27"/>
      <c r="L32" s="139">
        <v>0</v>
      </c>
      <c r="M32" s="139">
        <v>0.86</v>
      </c>
      <c r="N32" s="139">
        <v>0.72</v>
      </c>
      <c r="O32" s="139">
        <v>0.73</v>
      </c>
      <c r="P32" s="139">
        <v>0.12</v>
      </c>
      <c r="Q32" s="27"/>
      <c r="R32" s="27"/>
      <c r="S32" s="27"/>
      <c r="T32" s="27"/>
      <c r="U32" s="27"/>
      <c r="V32" s="12" t="s">
        <v>92</v>
      </c>
      <c r="W32" s="15"/>
    </row>
    <row r="33" spans="1:23" ht="13">
      <c r="A33" s="120"/>
      <c r="B33" s="120"/>
      <c r="C33" s="120"/>
      <c r="D33" s="16"/>
      <c r="E33" s="15"/>
      <c r="G33" s="15"/>
      <c r="H33" s="15"/>
      <c r="I33" s="15"/>
      <c r="J33" s="15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12"/>
      <c r="W33" s="15"/>
    </row>
    <row r="34" spans="1:23" ht="13">
      <c r="A34" s="120"/>
      <c r="B34" s="120"/>
      <c r="C34" s="120"/>
      <c r="D34" s="16"/>
      <c r="E34" s="9" t="s">
        <v>93</v>
      </c>
      <c r="G34" s="15"/>
      <c r="H34" s="15"/>
      <c r="I34" s="15"/>
      <c r="J34" s="15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12"/>
      <c r="W34" s="15"/>
    </row>
    <row r="35" spans="1:23" ht="13">
      <c r="A35" s="120"/>
      <c r="B35" s="120"/>
      <c r="C35" s="120"/>
      <c r="D35" s="16"/>
      <c r="E35" s="19" t="s">
        <v>94</v>
      </c>
      <c r="G35" s="15"/>
      <c r="H35" s="15"/>
      <c r="I35" s="15"/>
      <c r="J35" s="15"/>
      <c r="K35" s="27"/>
      <c r="L35" s="15"/>
      <c r="M35" s="15"/>
      <c r="N35" s="15"/>
      <c r="O35" s="15"/>
      <c r="P35" s="15"/>
      <c r="Q35" s="27"/>
      <c r="R35" s="27"/>
      <c r="S35" s="27"/>
      <c r="T35" s="27"/>
      <c r="U35" s="27"/>
      <c r="V35" s="12"/>
      <c r="W35" s="15"/>
    </row>
    <row r="36" spans="1:23" ht="13">
      <c r="A36" s="120"/>
      <c r="B36" s="120"/>
      <c r="C36" s="120"/>
      <c r="D36" s="16" t="s">
        <v>81</v>
      </c>
      <c r="E36" s="22" t="s">
        <v>95</v>
      </c>
      <c r="F36" s="32" t="s">
        <v>96</v>
      </c>
      <c r="G36" s="15"/>
      <c r="H36" s="15"/>
      <c r="I36" s="15"/>
      <c r="J36" s="15"/>
      <c r="K36" s="27"/>
      <c r="L36" s="140">
        <v>444.62343740880692</v>
      </c>
      <c r="M36" s="141">
        <v>461.63057811751656</v>
      </c>
      <c r="N36" s="141">
        <v>476.64200000000005</v>
      </c>
      <c r="O36" s="141">
        <v>486.23700000000002</v>
      </c>
      <c r="P36" s="141">
        <v>506.87200000000001</v>
      </c>
      <c r="Q36" s="27"/>
      <c r="R36" s="27"/>
      <c r="S36" s="27"/>
      <c r="T36" s="27"/>
      <c r="U36" s="27"/>
      <c r="V36" s="12" t="s">
        <v>97</v>
      </c>
      <c r="W36" s="15"/>
    </row>
    <row r="37" spans="1:23" ht="13">
      <c r="A37" s="120"/>
      <c r="B37" s="120"/>
      <c r="C37" s="120"/>
      <c r="D37" s="16" t="s">
        <v>81</v>
      </c>
      <c r="E37" s="22" t="s">
        <v>98</v>
      </c>
      <c r="F37" s="32" t="s">
        <v>96</v>
      </c>
      <c r="G37" s="15"/>
      <c r="H37" s="15"/>
      <c r="I37" s="15"/>
      <c r="J37" s="15"/>
      <c r="K37" s="27"/>
      <c r="L37" s="141">
        <v>645.88018971435622</v>
      </c>
      <c r="M37" s="141">
        <v>661.18369731194866</v>
      </c>
      <c r="N37" s="141">
        <v>684.12699999999995</v>
      </c>
      <c r="O37" s="141">
        <v>714.39499999999998</v>
      </c>
      <c r="P37" s="141">
        <v>737.60699999999997</v>
      </c>
      <c r="Q37" s="27"/>
      <c r="R37" s="27"/>
      <c r="S37" s="27"/>
      <c r="T37" s="27"/>
      <c r="U37" s="27"/>
      <c r="V37" s="12" t="s">
        <v>99</v>
      </c>
      <c r="W37" s="15"/>
    </row>
    <row r="38" spans="1:23" ht="13">
      <c r="A38" s="120"/>
      <c r="B38" s="120"/>
      <c r="C38" s="120"/>
      <c r="D38" s="15"/>
      <c r="E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2"/>
      <c r="W38" s="15"/>
    </row>
    <row r="39" spans="1:23" s="7" customFormat="1" ht="14">
      <c r="A39" s="111"/>
      <c r="B39" s="8"/>
      <c r="C39" s="8"/>
      <c r="D39" s="115"/>
      <c r="E39" s="112" t="s">
        <v>100</v>
      </c>
      <c r="F39" s="113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spans="1:23" customFormat="1">
      <c r="A40" s="121"/>
      <c r="B40" s="121"/>
      <c r="C40" s="121"/>
      <c r="F40" s="34"/>
    </row>
    <row r="41" spans="1:23" ht="13">
      <c r="A41" s="120"/>
      <c r="B41" s="120"/>
      <c r="C41" s="120"/>
      <c r="D41" s="16"/>
      <c r="E41" s="9" t="s">
        <v>101</v>
      </c>
      <c r="G41" s="15"/>
      <c r="H41" s="15"/>
      <c r="I41" s="15"/>
      <c r="J41" s="15"/>
      <c r="K41" s="27"/>
      <c r="L41" s="27"/>
      <c r="M41" s="27"/>
      <c r="N41" s="27"/>
      <c r="O41" s="27"/>
      <c r="P41" s="27"/>
      <c r="Q41" s="108"/>
      <c r="R41" s="27"/>
      <c r="S41" s="27"/>
      <c r="T41" s="27"/>
      <c r="U41" s="27"/>
      <c r="V41" s="12"/>
      <c r="W41" s="15"/>
    </row>
    <row r="42" spans="1:23" s="15" customFormat="1" ht="13">
      <c r="A42" s="120"/>
      <c r="B42" s="120"/>
      <c r="C42" s="120"/>
      <c r="D42" s="16" t="s">
        <v>81</v>
      </c>
      <c r="E42" s="17" t="s">
        <v>102</v>
      </c>
      <c r="F42" s="32" t="s">
        <v>103</v>
      </c>
      <c r="K42" s="140">
        <v>-0.77229218894321505</v>
      </c>
      <c r="L42" s="12" t="s">
        <v>104</v>
      </c>
      <c r="M42" s="12"/>
      <c r="N42" s="12"/>
      <c r="O42" s="12"/>
      <c r="P42" s="12"/>
      <c r="Q42" s="12"/>
      <c r="R42" s="27"/>
      <c r="S42" s="27"/>
      <c r="T42" s="27"/>
      <c r="U42" s="27"/>
      <c r="V42" s="12"/>
    </row>
    <row r="43" spans="1:23" s="15" customFormat="1" ht="13">
      <c r="A43" s="120"/>
      <c r="B43" s="120"/>
      <c r="C43" s="120"/>
      <c r="D43" s="16" t="s">
        <v>81</v>
      </c>
      <c r="E43" s="17" t="s">
        <v>105</v>
      </c>
      <c r="F43" s="32" t="s">
        <v>103</v>
      </c>
      <c r="K43" s="141">
        <v>-3.3147656069530314</v>
      </c>
      <c r="L43" s="12" t="s">
        <v>106</v>
      </c>
      <c r="M43" s="12"/>
      <c r="N43" s="12"/>
      <c r="O43" s="12"/>
      <c r="P43" s="12"/>
      <c r="Q43" s="12"/>
      <c r="R43" s="27"/>
      <c r="S43" s="27"/>
      <c r="T43" s="27"/>
      <c r="U43" s="27"/>
      <c r="V43" s="12"/>
    </row>
    <row r="44" spans="1:23" ht="13">
      <c r="A44" s="120"/>
      <c r="B44" s="120"/>
      <c r="C44" s="120"/>
      <c r="D44" s="119" t="s">
        <v>107</v>
      </c>
      <c r="E44" s="17" t="s">
        <v>108</v>
      </c>
      <c r="F44" s="32" t="s">
        <v>109</v>
      </c>
      <c r="G44" s="12"/>
      <c r="H44" s="12"/>
      <c r="I44" s="15"/>
      <c r="J44" s="15"/>
      <c r="K44" s="27"/>
      <c r="L44" s="27"/>
      <c r="M44" s="27"/>
      <c r="N44" s="142">
        <v>1</v>
      </c>
      <c r="O44" s="142">
        <v>0</v>
      </c>
      <c r="P44" s="142">
        <v>0</v>
      </c>
      <c r="Q44" s="116">
        <f>SUM(N44:P44)</f>
        <v>1</v>
      </c>
      <c r="R44" s="27"/>
      <c r="S44" s="27"/>
      <c r="T44" s="27"/>
      <c r="U44" s="27"/>
      <c r="V44" s="12"/>
      <c r="W44" s="15"/>
    </row>
    <row r="45" spans="1:23" ht="13">
      <c r="A45" s="120"/>
      <c r="B45" s="120"/>
      <c r="C45" s="120"/>
      <c r="D45" s="119" t="s">
        <v>107</v>
      </c>
      <c r="E45" s="17" t="s">
        <v>110</v>
      </c>
      <c r="F45" s="32" t="s">
        <v>109</v>
      </c>
      <c r="G45" s="12"/>
      <c r="H45" s="12"/>
      <c r="I45" s="15"/>
      <c r="J45" s="15"/>
      <c r="K45" s="27"/>
      <c r="L45" s="27"/>
      <c r="M45" s="27"/>
      <c r="N45" s="142">
        <v>1</v>
      </c>
      <c r="O45" s="142">
        <v>0</v>
      </c>
      <c r="P45" s="142">
        <v>0</v>
      </c>
      <c r="Q45" s="116">
        <f>SUM(N45:P45)</f>
        <v>1</v>
      </c>
      <c r="R45" s="27"/>
      <c r="S45" s="27"/>
      <c r="T45" s="27"/>
      <c r="U45" s="27"/>
      <c r="V45" s="12"/>
      <c r="W45" s="15"/>
    </row>
    <row r="46" spans="1:23" ht="13">
      <c r="A46" s="120"/>
      <c r="B46" s="120"/>
      <c r="C46" s="120"/>
      <c r="D46" s="16"/>
      <c r="E46" s="17"/>
      <c r="G46" s="12"/>
      <c r="H46" s="12"/>
      <c r="I46" s="15"/>
      <c r="J46" s="15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12"/>
      <c r="W46" s="15"/>
    </row>
    <row r="47" spans="1:23" s="7" customFormat="1" ht="14">
      <c r="A47" s="111"/>
      <c r="B47" s="8"/>
      <c r="C47" s="8"/>
      <c r="D47" s="115"/>
      <c r="E47" s="112" t="s">
        <v>233</v>
      </c>
      <c r="F47" s="11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spans="1:23" ht="13">
      <c r="A48" s="120"/>
      <c r="B48" s="120"/>
      <c r="C48" s="120"/>
      <c r="D48" s="16"/>
      <c r="E48" s="17"/>
      <c r="G48" s="12"/>
      <c r="H48" s="12"/>
      <c r="I48" s="15"/>
      <c r="J48" s="15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12"/>
      <c r="W48" s="15"/>
    </row>
    <row r="49" spans="1:23" ht="13">
      <c r="A49" s="120"/>
      <c r="B49" s="120"/>
      <c r="C49" s="120"/>
      <c r="D49" s="16"/>
      <c r="E49" s="19" t="s">
        <v>234</v>
      </c>
      <c r="G49" s="12"/>
      <c r="H49" s="12"/>
      <c r="I49" s="15"/>
      <c r="J49" s="15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12"/>
      <c r="W49" s="15"/>
    </row>
    <row r="50" spans="1:23" ht="13">
      <c r="A50" s="120"/>
      <c r="B50" s="120"/>
      <c r="C50" s="120"/>
      <c r="D50" s="16" t="s">
        <v>81</v>
      </c>
      <c r="E50" s="22" t="s">
        <v>239</v>
      </c>
      <c r="F50" s="32" t="s">
        <v>96</v>
      </c>
      <c r="G50" s="12"/>
      <c r="H50" s="12"/>
      <c r="I50" s="15"/>
      <c r="J50" s="15"/>
      <c r="K50" s="27"/>
      <c r="L50" s="27"/>
      <c r="M50" s="27"/>
      <c r="N50" s="27"/>
      <c r="O50" s="141">
        <v>6</v>
      </c>
      <c r="P50" s="27"/>
      <c r="Q50" s="27"/>
      <c r="R50" s="27"/>
      <c r="S50" s="27"/>
      <c r="T50" s="27"/>
      <c r="U50" s="27"/>
      <c r="V50" s="12"/>
      <c r="W50" s="15"/>
    </row>
    <row r="51" spans="1:23" ht="13">
      <c r="A51" s="120"/>
      <c r="B51" s="120"/>
      <c r="C51" s="120"/>
      <c r="D51" s="16" t="s">
        <v>81</v>
      </c>
      <c r="E51" s="22" t="s">
        <v>240</v>
      </c>
      <c r="F51" s="32" t="s">
        <v>96</v>
      </c>
      <c r="G51" s="12"/>
      <c r="H51" s="12"/>
      <c r="I51" s="15"/>
      <c r="J51" s="15"/>
      <c r="K51" s="27"/>
      <c r="L51" s="27"/>
      <c r="M51" s="27"/>
      <c r="N51" s="27"/>
      <c r="O51" s="141">
        <v>4</v>
      </c>
      <c r="P51" s="27"/>
      <c r="Q51" s="27"/>
      <c r="R51" s="27"/>
      <c r="S51" s="27"/>
      <c r="T51" s="27"/>
      <c r="U51" s="27"/>
      <c r="V51" s="12"/>
      <c r="W51" s="15"/>
    </row>
    <row r="52" spans="1:23" ht="13">
      <c r="A52" s="120"/>
      <c r="B52" s="120"/>
      <c r="C52" s="120"/>
      <c r="D52" s="16"/>
      <c r="E52" s="17"/>
      <c r="G52" s="12"/>
      <c r="H52" s="12"/>
      <c r="I52" s="15"/>
      <c r="J52" s="15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12"/>
      <c r="W52" s="15"/>
    </row>
    <row r="53" spans="1:23" ht="13">
      <c r="A53" s="120"/>
      <c r="B53" s="120"/>
      <c r="C53" s="120"/>
      <c r="D53" s="16" t="s">
        <v>81</v>
      </c>
      <c r="E53" s="22" t="s">
        <v>241</v>
      </c>
      <c r="F53" s="32" t="s">
        <v>96</v>
      </c>
      <c r="G53" s="12"/>
      <c r="H53" s="12"/>
      <c r="I53" s="15"/>
      <c r="J53" s="15"/>
      <c r="K53" s="27"/>
      <c r="L53" s="27"/>
      <c r="M53" s="27"/>
      <c r="N53" s="27"/>
      <c r="O53" s="27"/>
      <c r="P53" s="141">
        <v>0</v>
      </c>
      <c r="Q53" s="27"/>
      <c r="R53" s="27"/>
      <c r="S53" s="27"/>
      <c r="T53" s="27"/>
      <c r="U53" s="27"/>
      <c r="V53" s="12"/>
      <c r="W53" s="15"/>
    </row>
    <row r="54" spans="1:23" ht="13">
      <c r="A54" s="120"/>
      <c r="B54" s="120"/>
      <c r="C54" s="120"/>
      <c r="D54" s="16" t="s">
        <v>81</v>
      </c>
      <c r="E54" s="22" t="s">
        <v>242</v>
      </c>
      <c r="F54" s="32" t="s">
        <v>96</v>
      </c>
      <c r="G54" s="12"/>
      <c r="H54" s="12"/>
      <c r="I54" s="15"/>
      <c r="J54" s="15"/>
      <c r="K54" s="27"/>
      <c r="L54" s="27"/>
      <c r="M54" s="27"/>
      <c r="N54" s="27"/>
      <c r="O54" s="27"/>
      <c r="P54" s="141">
        <v>0</v>
      </c>
      <c r="Q54" s="27"/>
      <c r="R54" s="27"/>
      <c r="S54" s="27"/>
      <c r="T54" s="27"/>
      <c r="U54" s="27"/>
      <c r="V54" s="12"/>
      <c r="W54" s="15"/>
    </row>
    <row r="55" spans="1:23" ht="13.5" thickBot="1">
      <c r="A55" s="120"/>
      <c r="B55" s="120"/>
      <c r="C55" s="120"/>
      <c r="D55" s="16"/>
      <c r="E55" s="17"/>
      <c r="G55" s="12"/>
      <c r="H55" s="12"/>
      <c r="I55" s="15"/>
      <c r="J55" s="15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12"/>
      <c r="W55" s="15"/>
    </row>
    <row r="56" spans="1:23" ht="13.5" thickBot="1">
      <c r="A56" s="10" t="s">
        <v>111</v>
      </c>
      <c r="B56" s="11"/>
      <c r="C56" s="11"/>
      <c r="D56" s="11"/>
      <c r="E56" s="11"/>
      <c r="F56" s="33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23"/>
    <row r="63" spans="1:23"/>
    <row r="64" spans="1:23"/>
    <row r="65"/>
    <row r="66"/>
    <row r="67"/>
    <row r="68"/>
    <row r="69"/>
    <row r="70"/>
    <row r="71"/>
    <row r="72"/>
    <row r="73"/>
    <row r="74"/>
    <row r="75"/>
    <row r="76"/>
  </sheetData>
  <dataValidations count="2">
    <dataValidation type="list" allowBlank="1" showInputMessage="1" showErrorMessage="1" sqref="G11" xr:uid="{00000000-0002-0000-0200-000000000000}">
      <formula1>"WaSC,WOC"</formula1>
    </dataValidation>
    <dataValidation type="list" allowBlank="1" showInputMessage="1" showErrorMessage="1" sqref="G12" xr:uid="{00000000-0002-0000-0200-000001000000}">
      <formula1>"True,False"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FFFF00"/>
    <pageSetUpPr fitToPage="1"/>
  </sheetPr>
  <dimension ref="A1:Z65"/>
  <sheetViews>
    <sheetView showGridLines="0" zoomScale="80" zoomScaleNormal="80" workbookViewId="0">
      <pane xSplit="5" ySplit="5" topLeftCell="F6" activePane="bottomRight" state="frozen"/>
      <selection activeCell="A20" sqref="A20"/>
      <selection pane="topRight" activeCell="A20" sqref="A20"/>
      <selection pane="bottomLeft" activeCell="A20" sqref="A20"/>
      <selection pane="bottomRight" activeCell="V15" sqref="V15"/>
    </sheetView>
  </sheetViews>
  <sheetFormatPr defaultColWidth="0" defaultRowHeight="0" customHeight="1" zeroHeight="1"/>
  <cols>
    <col min="1" max="3" width="4.7265625" style="35" customWidth="1"/>
    <col min="4" max="4" width="11.7265625" style="35" customWidth="1"/>
    <col min="5" max="5" width="53.1796875" style="35" customWidth="1"/>
    <col min="6" max="7" width="2.7265625" style="35" customWidth="1"/>
    <col min="8" max="21" width="11" style="35" customWidth="1"/>
    <col min="22" max="22" width="35.26953125" style="36" customWidth="1"/>
    <col min="23" max="26" width="8.81640625" style="35" hidden="1" customWidth="1"/>
    <col min="27" max="259" width="0" style="35" hidden="1" customWidth="1"/>
    <col min="260" max="16384" width="0" style="35" hidden="1"/>
  </cols>
  <sheetData>
    <row r="1" spans="1:24" s="40" customFormat="1" ht="32.5">
      <c r="A1" s="93"/>
      <c r="B1" s="93"/>
      <c r="C1" s="92"/>
      <c r="D1" s="91" t="s">
        <v>112</v>
      </c>
      <c r="E1" s="91"/>
      <c r="F1" s="91"/>
      <c r="G1" s="91"/>
      <c r="H1" s="91"/>
      <c r="I1" s="89"/>
      <c r="J1" s="89"/>
      <c r="K1" s="90"/>
      <c r="L1" s="90"/>
      <c r="M1" s="89"/>
      <c r="N1" s="89"/>
      <c r="O1" s="89"/>
      <c r="P1" s="89"/>
      <c r="Q1" s="89"/>
      <c r="R1" s="89"/>
      <c r="S1" s="89"/>
      <c r="T1" s="89"/>
      <c r="U1" s="88"/>
      <c r="V1" s="87"/>
      <c r="W1" s="85"/>
      <c r="X1" s="84"/>
    </row>
    <row r="2" spans="1:24" s="40" customFormat="1" ht="12.5">
      <c r="C2" s="53"/>
      <c r="E2" s="53"/>
      <c r="F2" s="53"/>
      <c r="G2" s="53"/>
      <c r="H2" s="86"/>
      <c r="I2" s="57"/>
      <c r="J2" s="57"/>
      <c r="K2" s="57"/>
      <c r="L2" s="57"/>
      <c r="M2" s="57"/>
      <c r="S2" s="35"/>
      <c r="T2" s="35"/>
      <c r="U2" s="35"/>
      <c r="V2" s="35"/>
      <c r="W2" s="85"/>
      <c r="X2" s="84"/>
    </row>
    <row r="3" spans="1:24" s="79" customFormat="1" ht="14">
      <c r="A3" s="72"/>
      <c r="B3" s="75"/>
      <c r="C3" s="76"/>
      <c r="D3" s="75"/>
      <c r="E3" s="83" t="s">
        <v>57</v>
      </c>
      <c r="F3" s="83"/>
      <c r="G3" s="83"/>
      <c r="H3" s="81" t="s">
        <v>113</v>
      </c>
      <c r="I3" s="81" t="str">
        <f t="shared" ref="I3:U3" si="0">AMP.Years</f>
        <v>2012-13</v>
      </c>
      <c r="J3" s="81" t="str">
        <f t="shared" si="0"/>
        <v>2013-14</v>
      </c>
      <c r="K3" s="81" t="str">
        <f t="shared" si="0"/>
        <v>2014-15</v>
      </c>
      <c r="L3" s="82" t="str">
        <f t="shared" si="0"/>
        <v>2015-16</v>
      </c>
      <c r="M3" s="82" t="str">
        <f t="shared" si="0"/>
        <v>2016-17</v>
      </c>
      <c r="N3" s="82" t="str">
        <f t="shared" si="0"/>
        <v>2017-18</v>
      </c>
      <c r="O3" s="82" t="str">
        <f t="shared" si="0"/>
        <v>2018-19</v>
      </c>
      <c r="P3" s="82" t="str">
        <f t="shared" si="0"/>
        <v>2019-20</v>
      </c>
      <c r="Q3" s="81" t="str">
        <f t="shared" si="0"/>
        <v>2020-21</v>
      </c>
      <c r="R3" s="81" t="str">
        <f t="shared" si="0"/>
        <v>2021-22</v>
      </c>
      <c r="S3" s="81" t="str">
        <f t="shared" si="0"/>
        <v>2022-23</v>
      </c>
      <c r="T3" s="81" t="str">
        <f t="shared" si="0"/>
        <v>2023-24</v>
      </c>
      <c r="U3" s="81" t="str">
        <f t="shared" si="0"/>
        <v>2024-25</v>
      </c>
      <c r="V3" s="80"/>
    </row>
    <row r="4" spans="1:24" s="77" customFormat="1" ht="18" customHeight="1">
      <c r="A4" s="40"/>
      <c r="B4" s="40"/>
      <c r="C4" s="53"/>
      <c r="D4" s="40"/>
      <c r="E4" s="58"/>
      <c r="F4" s="58"/>
      <c r="G4" s="58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8"/>
    </row>
    <row r="5" spans="1:24" s="72" customFormat="1" ht="13">
      <c r="B5" s="75"/>
      <c r="C5" s="76"/>
      <c r="D5" s="75"/>
      <c r="E5" s="75" t="s">
        <v>114</v>
      </c>
      <c r="F5" s="75"/>
      <c r="G5" s="75"/>
      <c r="H5" s="74">
        <v>2011</v>
      </c>
      <c r="I5" s="74">
        <f t="shared" ref="I5:U5" si="1">Calendar.Years</f>
        <v>2012</v>
      </c>
      <c r="J5" s="74">
        <f t="shared" si="1"/>
        <v>2013</v>
      </c>
      <c r="K5" s="74">
        <f t="shared" si="1"/>
        <v>2014</v>
      </c>
      <c r="L5" s="74">
        <f t="shared" si="1"/>
        <v>2015</v>
      </c>
      <c r="M5" s="74">
        <f t="shared" si="1"/>
        <v>2016</v>
      </c>
      <c r="N5" s="74">
        <f t="shared" si="1"/>
        <v>2017</v>
      </c>
      <c r="O5" s="74">
        <f t="shared" si="1"/>
        <v>2018</v>
      </c>
      <c r="P5" s="74">
        <f t="shared" si="1"/>
        <v>2019</v>
      </c>
      <c r="Q5" s="74">
        <f t="shared" si="1"/>
        <v>2020</v>
      </c>
      <c r="R5" s="74">
        <f t="shared" si="1"/>
        <v>2021</v>
      </c>
      <c r="S5" s="74">
        <f t="shared" si="1"/>
        <v>2022</v>
      </c>
      <c r="T5" s="74">
        <f t="shared" si="1"/>
        <v>2023</v>
      </c>
      <c r="U5" s="74">
        <f t="shared" si="1"/>
        <v>2024</v>
      </c>
      <c r="V5" s="73"/>
    </row>
    <row r="6" spans="1:24" s="40" customFormat="1" ht="13">
      <c r="C6" s="53"/>
      <c r="E6" s="71" t="s">
        <v>59</v>
      </c>
      <c r="H6" s="70">
        <v>-3</v>
      </c>
      <c r="I6" s="70">
        <v>-2</v>
      </c>
      <c r="J6" s="70">
        <v>-1</v>
      </c>
      <c r="K6" s="70">
        <v>0</v>
      </c>
      <c r="L6" s="70">
        <v>1</v>
      </c>
      <c r="M6" s="70">
        <v>2</v>
      </c>
      <c r="N6" s="70">
        <v>3</v>
      </c>
      <c r="O6" s="70">
        <v>4</v>
      </c>
      <c r="P6" s="70">
        <v>5</v>
      </c>
      <c r="Q6" s="70">
        <v>6</v>
      </c>
      <c r="R6" s="70">
        <v>7</v>
      </c>
      <c r="S6" s="70">
        <v>8</v>
      </c>
      <c r="T6" s="70">
        <v>9</v>
      </c>
      <c r="U6" s="70">
        <v>10</v>
      </c>
      <c r="V6" s="41"/>
    </row>
    <row r="7" spans="1:24" s="40" customFormat="1" ht="12.75" customHeight="1">
      <c r="C7" s="53"/>
      <c r="F7" s="58"/>
      <c r="G7" s="58"/>
      <c r="I7" s="57" t="s">
        <v>115</v>
      </c>
      <c r="J7" s="57" t="s">
        <v>115</v>
      </c>
      <c r="K7" s="57" t="s">
        <v>115</v>
      </c>
      <c r="L7" s="57" t="s">
        <v>115</v>
      </c>
      <c r="M7" s="57" t="s">
        <v>115</v>
      </c>
      <c r="N7" s="57" t="s">
        <v>115</v>
      </c>
      <c r="O7" s="57" t="s">
        <v>115</v>
      </c>
      <c r="P7" s="57" t="s">
        <v>115</v>
      </c>
      <c r="Q7" s="57" t="s">
        <v>115</v>
      </c>
      <c r="R7" s="57" t="s">
        <v>115</v>
      </c>
      <c r="S7" s="57" t="s">
        <v>115</v>
      </c>
      <c r="T7" s="57" t="s">
        <v>115</v>
      </c>
      <c r="U7" s="57" t="s">
        <v>115</v>
      </c>
      <c r="V7" s="41"/>
    </row>
    <row r="8" spans="1:24" s="40" customFormat="1" ht="12.75" customHeight="1">
      <c r="A8" s="69"/>
      <c r="B8" s="68"/>
      <c r="C8" s="68"/>
      <c r="D8" s="66"/>
      <c r="E8" s="67" t="s">
        <v>46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</row>
    <row r="9" spans="1:24" s="40" customFormat="1" ht="12.75" customHeight="1">
      <c r="C9" s="53"/>
      <c r="E9" s="58"/>
      <c r="F9" s="58"/>
      <c r="G9" s="58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41"/>
    </row>
    <row r="10" spans="1:24" s="40" customFormat="1" ht="12.75" customHeight="1">
      <c r="C10" s="53"/>
      <c r="E10" s="58" t="s">
        <v>116</v>
      </c>
      <c r="F10" s="58"/>
      <c r="G10" s="58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41"/>
    </row>
    <row r="11" spans="1:24" s="40" customFormat="1" ht="13">
      <c r="B11" s="55">
        <v>1</v>
      </c>
      <c r="C11" s="53"/>
      <c r="D11" s="40" t="s">
        <v>117</v>
      </c>
      <c r="E11" s="44" t="s">
        <v>118</v>
      </c>
      <c r="F11" s="44"/>
      <c r="G11" s="44"/>
      <c r="I11" s="65">
        <v>242.5</v>
      </c>
      <c r="J11" s="65">
        <v>249.5</v>
      </c>
      <c r="K11" s="65">
        <v>255.7</v>
      </c>
      <c r="L11" s="65">
        <v>258</v>
      </c>
      <c r="M11" s="65">
        <v>261.39999999999998</v>
      </c>
      <c r="N11" s="65">
        <v>270.60000000000002</v>
      </c>
      <c r="O11" s="65">
        <v>279.7</v>
      </c>
      <c r="P11" s="143">
        <v>288.09100000000001</v>
      </c>
      <c r="Q11" s="143">
        <v>296.73373000000004</v>
      </c>
      <c r="R11" s="143">
        <v>305.63574190000003</v>
      </c>
      <c r="S11" s="143">
        <v>314.80481415700001</v>
      </c>
      <c r="T11" s="143">
        <v>324.24895858171004</v>
      </c>
      <c r="U11" s="143">
        <v>333.97642733916138</v>
      </c>
      <c r="V11" s="41"/>
    </row>
    <row r="12" spans="1:24" s="40" customFormat="1" ht="13">
      <c r="B12" s="55">
        <v>2</v>
      </c>
      <c r="C12" s="53"/>
      <c r="D12" s="40" t="s">
        <v>117</v>
      </c>
      <c r="E12" s="44" t="s">
        <v>119</v>
      </c>
      <c r="F12" s="44"/>
      <c r="G12" s="44"/>
      <c r="I12" s="65">
        <v>242.4</v>
      </c>
      <c r="J12" s="65">
        <v>250</v>
      </c>
      <c r="K12" s="65">
        <v>255.9</v>
      </c>
      <c r="L12" s="65">
        <v>258.5</v>
      </c>
      <c r="M12" s="65">
        <v>262.10000000000002</v>
      </c>
      <c r="N12" s="65">
        <v>271.7</v>
      </c>
      <c r="O12" s="65">
        <v>280.7</v>
      </c>
      <c r="P12" s="143">
        <v>289.12099999999998</v>
      </c>
      <c r="Q12" s="143">
        <v>297.79462999999998</v>
      </c>
      <c r="R12" s="143">
        <v>306.7284689</v>
      </c>
      <c r="S12" s="143">
        <v>315.930322967</v>
      </c>
      <c r="T12" s="143">
        <v>325.40823265601</v>
      </c>
      <c r="U12" s="143">
        <v>335.1704796356903</v>
      </c>
      <c r="V12" s="41"/>
    </row>
    <row r="13" spans="1:24" s="40" customFormat="1" ht="13">
      <c r="B13" s="55">
        <v>3</v>
      </c>
      <c r="C13" s="53"/>
      <c r="D13" s="40" t="s">
        <v>117</v>
      </c>
      <c r="E13" s="44" t="s">
        <v>120</v>
      </c>
      <c r="F13" s="44"/>
      <c r="G13" s="44"/>
      <c r="I13" s="65">
        <v>241.8</v>
      </c>
      <c r="J13" s="65">
        <v>249.7</v>
      </c>
      <c r="K13" s="65">
        <v>256.3</v>
      </c>
      <c r="L13" s="65">
        <v>258.89999999999998</v>
      </c>
      <c r="M13" s="65">
        <v>263.10000000000002</v>
      </c>
      <c r="N13" s="65">
        <v>272.3</v>
      </c>
      <c r="O13" s="65">
        <v>281.5</v>
      </c>
      <c r="P13" s="143">
        <v>289.94499999999999</v>
      </c>
      <c r="Q13" s="143">
        <v>298.64335</v>
      </c>
      <c r="R13" s="143">
        <v>307.60265049999998</v>
      </c>
      <c r="S13" s="143">
        <v>316.83073001499997</v>
      </c>
      <c r="T13" s="143">
        <v>326.33565191545</v>
      </c>
      <c r="U13" s="143">
        <v>336.12572147291348</v>
      </c>
      <c r="V13" s="41"/>
    </row>
    <row r="14" spans="1:24" s="40" customFormat="1" ht="13">
      <c r="B14" s="55">
        <v>4</v>
      </c>
      <c r="C14" s="53"/>
      <c r="D14" s="40" t="s">
        <v>117</v>
      </c>
      <c r="E14" s="44" t="s">
        <v>121</v>
      </c>
      <c r="F14" s="44"/>
      <c r="G14" s="44"/>
      <c r="I14" s="65">
        <v>242.1</v>
      </c>
      <c r="J14" s="65">
        <v>249.7</v>
      </c>
      <c r="K14" s="65">
        <v>256</v>
      </c>
      <c r="L14" s="65">
        <v>258.60000000000002</v>
      </c>
      <c r="M14" s="65">
        <v>263.39999999999998</v>
      </c>
      <c r="N14" s="65">
        <v>272.89999999999998</v>
      </c>
      <c r="O14" s="65">
        <v>281.7</v>
      </c>
      <c r="P14" s="143">
        <v>290.15100000000001</v>
      </c>
      <c r="Q14" s="143">
        <v>298.85553000000004</v>
      </c>
      <c r="R14" s="143">
        <v>307.82119590000008</v>
      </c>
      <c r="S14" s="143">
        <v>317.05583177700009</v>
      </c>
      <c r="T14" s="143">
        <v>326.56750673031013</v>
      </c>
      <c r="U14" s="143">
        <v>336.36453193221945</v>
      </c>
      <c r="V14" s="41"/>
    </row>
    <row r="15" spans="1:24" s="40" customFormat="1" ht="13">
      <c r="B15" s="55">
        <v>5</v>
      </c>
      <c r="C15" s="53"/>
      <c r="D15" s="40" t="s">
        <v>117</v>
      </c>
      <c r="E15" s="44" t="s">
        <v>122</v>
      </c>
      <c r="F15" s="44"/>
      <c r="G15" s="44"/>
      <c r="I15" s="65">
        <v>243</v>
      </c>
      <c r="J15" s="65">
        <v>251</v>
      </c>
      <c r="K15" s="65">
        <v>257</v>
      </c>
      <c r="L15" s="65">
        <v>259.8</v>
      </c>
      <c r="M15" s="65">
        <v>264.39999999999998</v>
      </c>
      <c r="N15" s="65">
        <v>274.7</v>
      </c>
      <c r="O15" s="65">
        <v>284.2</v>
      </c>
      <c r="P15" s="143">
        <v>292.726</v>
      </c>
      <c r="Q15" s="143">
        <v>301.50778000000003</v>
      </c>
      <c r="R15" s="143">
        <v>310.55301340000005</v>
      </c>
      <c r="S15" s="143">
        <v>319.86960380200009</v>
      </c>
      <c r="T15" s="143">
        <v>329.46569191606011</v>
      </c>
      <c r="U15" s="143">
        <v>339.3496626735419</v>
      </c>
      <c r="V15" s="41"/>
    </row>
    <row r="16" spans="1:24" s="40" customFormat="1" ht="13">
      <c r="B16" s="55">
        <v>6</v>
      </c>
      <c r="C16" s="53"/>
      <c r="D16" s="40" t="s">
        <v>117</v>
      </c>
      <c r="E16" s="44" t="s">
        <v>123</v>
      </c>
      <c r="F16" s="44"/>
      <c r="G16" s="44"/>
      <c r="I16" s="65">
        <v>244.2</v>
      </c>
      <c r="J16" s="65">
        <v>251.9</v>
      </c>
      <c r="K16" s="65">
        <v>257.60000000000002</v>
      </c>
      <c r="L16" s="65">
        <v>259.60000000000002</v>
      </c>
      <c r="M16" s="65">
        <v>264.89999999999998</v>
      </c>
      <c r="N16" s="65">
        <v>275.10000000000002</v>
      </c>
      <c r="O16" s="65">
        <v>284.10000000000002</v>
      </c>
      <c r="P16" s="143">
        <v>292.62300000000005</v>
      </c>
      <c r="Q16" s="143">
        <v>301.40169000000003</v>
      </c>
      <c r="R16" s="143">
        <v>310.44374070000003</v>
      </c>
      <c r="S16" s="143">
        <v>319.75705292100002</v>
      </c>
      <c r="T16" s="143">
        <v>329.34976450863002</v>
      </c>
      <c r="U16" s="143">
        <v>339.23025744388895</v>
      </c>
      <c r="V16" s="41"/>
    </row>
    <row r="17" spans="2:22" s="40" customFormat="1" ht="13">
      <c r="B17" s="55">
        <v>7</v>
      </c>
      <c r="C17" s="53"/>
      <c r="D17" s="40" t="s">
        <v>117</v>
      </c>
      <c r="E17" s="44" t="s">
        <v>124</v>
      </c>
      <c r="F17" s="44"/>
      <c r="G17" s="44"/>
      <c r="I17" s="65">
        <v>245.6</v>
      </c>
      <c r="J17" s="65">
        <v>251.9</v>
      </c>
      <c r="K17" s="65">
        <v>257.7</v>
      </c>
      <c r="L17" s="65">
        <v>259.5</v>
      </c>
      <c r="M17" s="65">
        <v>264.8</v>
      </c>
      <c r="N17" s="65">
        <v>275.3</v>
      </c>
      <c r="O17" s="65">
        <v>284.5</v>
      </c>
      <c r="P17" s="143">
        <v>293.03500000000003</v>
      </c>
      <c r="Q17" s="143">
        <v>301.82605000000001</v>
      </c>
      <c r="R17" s="143">
        <v>310.8808315</v>
      </c>
      <c r="S17" s="143">
        <v>320.20725644499998</v>
      </c>
      <c r="T17" s="143">
        <v>329.81347413834999</v>
      </c>
      <c r="U17" s="143">
        <v>339.70787836250048</v>
      </c>
      <c r="V17" s="41"/>
    </row>
    <row r="18" spans="2:22" s="40" customFormat="1" ht="13">
      <c r="B18" s="55">
        <v>8</v>
      </c>
      <c r="C18" s="53"/>
      <c r="D18" s="40" t="s">
        <v>117</v>
      </c>
      <c r="E18" s="44" t="s">
        <v>125</v>
      </c>
      <c r="F18" s="44"/>
      <c r="G18" s="44"/>
      <c r="H18" s="65">
        <v>238.5</v>
      </c>
      <c r="I18" s="65">
        <v>245.6</v>
      </c>
      <c r="J18" s="65">
        <v>252.1</v>
      </c>
      <c r="K18" s="65">
        <v>257.10000000000002</v>
      </c>
      <c r="L18" s="65">
        <v>259.8</v>
      </c>
      <c r="M18" s="65">
        <v>265.5</v>
      </c>
      <c r="N18" s="65">
        <v>275.8</v>
      </c>
      <c r="O18" s="65">
        <v>284.60000000000002</v>
      </c>
      <c r="P18" s="143">
        <v>293.13800000000003</v>
      </c>
      <c r="Q18" s="143">
        <v>301.93214000000006</v>
      </c>
      <c r="R18" s="143">
        <v>310.99010420000008</v>
      </c>
      <c r="S18" s="143">
        <v>320.3198073260001</v>
      </c>
      <c r="T18" s="143">
        <v>329.92940154578014</v>
      </c>
      <c r="U18" s="143">
        <v>339.82728359215355</v>
      </c>
      <c r="V18" s="41"/>
    </row>
    <row r="19" spans="2:22" s="40" customFormat="1" ht="13">
      <c r="B19" s="55">
        <v>9</v>
      </c>
      <c r="C19" s="53"/>
      <c r="D19" s="40" t="s">
        <v>117</v>
      </c>
      <c r="E19" s="44" t="s">
        <v>126</v>
      </c>
      <c r="F19" s="44"/>
      <c r="G19" s="44"/>
      <c r="I19" s="65">
        <v>246.8</v>
      </c>
      <c r="J19" s="65">
        <v>253.4</v>
      </c>
      <c r="K19" s="65">
        <v>257.5</v>
      </c>
      <c r="L19" s="65">
        <v>260.60000000000002</v>
      </c>
      <c r="M19" s="65">
        <v>267.10000000000002</v>
      </c>
      <c r="N19" s="65">
        <v>278.10000000000002</v>
      </c>
      <c r="O19" s="65">
        <v>285.60000000000002</v>
      </c>
      <c r="P19" s="143">
        <v>294.16800000000001</v>
      </c>
      <c r="Q19" s="143">
        <v>302.99304000000001</v>
      </c>
      <c r="R19" s="143">
        <v>312.08283120000004</v>
      </c>
      <c r="S19" s="143">
        <v>321.44531613600003</v>
      </c>
      <c r="T19" s="143">
        <v>331.08867562008004</v>
      </c>
      <c r="U19" s="143">
        <v>341.02133588868247</v>
      </c>
      <c r="V19" s="41"/>
    </row>
    <row r="20" spans="2:22" s="40" customFormat="1" ht="13">
      <c r="B20" s="55">
        <v>10</v>
      </c>
      <c r="C20" s="53"/>
      <c r="D20" s="40" t="s">
        <v>117</v>
      </c>
      <c r="E20" s="44" t="s">
        <v>127</v>
      </c>
      <c r="F20" s="44"/>
      <c r="G20" s="44"/>
      <c r="I20" s="65">
        <v>245.8</v>
      </c>
      <c r="J20" s="65">
        <v>252.6</v>
      </c>
      <c r="K20" s="65">
        <v>255.4</v>
      </c>
      <c r="L20" s="65">
        <v>258.8</v>
      </c>
      <c r="M20" s="65">
        <v>265.5</v>
      </c>
      <c r="N20" s="65">
        <v>276</v>
      </c>
      <c r="O20" s="65">
        <v>283</v>
      </c>
      <c r="P20" s="143">
        <v>291.49</v>
      </c>
      <c r="Q20" s="143">
        <v>300.23470000000003</v>
      </c>
      <c r="R20" s="143">
        <v>309.24174100000005</v>
      </c>
      <c r="S20" s="143">
        <v>318.51899323000004</v>
      </c>
      <c r="T20" s="143">
        <v>328.07456302690002</v>
      </c>
      <c r="U20" s="143">
        <v>337.91679991770701</v>
      </c>
      <c r="V20" s="41"/>
    </row>
    <row r="21" spans="2:22" s="40" customFormat="1" ht="13">
      <c r="B21" s="55">
        <v>11</v>
      </c>
      <c r="C21" s="53"/>
      <c r="D21" s="40" t="s">
        <v>117</v>
      </c>
      <c r="E21" s="44" t="s">
        <v>128</v>
      </c>
      <c r="F21" s="44"/>
      <c r="G21" s="44"/>
      <c r="I21" s="65">
        <v>247.6</v>
      </c>
      <c r="J21" s="65">
        <v>254.2</v>
      </c>
      <c r="K21" s="65">
        <v>256.7</v>
      </c>
      <c r="L21" s="65">
        <v>260</v>
      </c>
      <c r="M21" s="65">
        <v>268.39999999999998</v>
      </c>
      <c r="N21" s="65">
        <v>278.10000000000002</v>
      </c>
      <c r="O21" s="65">
        <v>285</v>
      </c>
      <c r="P21" s="143">
        <v>293.55</v>
      </c>
      <c r="Q21" s="143">
        <v>302.35650000000004</v>
      </c>
      <c r="R21" s="143">
        <v>311.42719500000004</v>
      </c>
      <c r="S21" s="143">
        <v>320.77001085000006</v>
      </c>
      <c r="T21" s="143">
        <v>330.39311117550005</v>
      </c>
      <c r="U21" s="143">
        <v>340.30490451076508</v>
      </c>
      <c r="V21" s="41"/>
    </row>
    <row r="22" spans="2:22" s="40" customFormat="1" ht="13">
      <c r="B22" s="55">
        <v>12</v>
      </c>
      <c r="C22" s="53"/>
      <c r="D22" s="40" t="s">
        <v>117</v>
      </c>
      <c r="E22" s="44" t="s">
        <v>129</v>
      </c>
      <c r="F22" s="44"/>
      <c r="G22" s="44"/>
      <c r="I22" s="65">
        <v>248.7</v>
      </c>
      <c r="J22" s="65">
        <v>254.8</v>
      </c>
      <c r="K22" s="65">
        <v>257.10000000000002</v>
      </c>
      <c r="L22" s="65">
        <v>261.10000000000002</v>
      </c>
      <c r="M22" s="65">
        <v>269.3</v>
      </c>
      <c r="N22" s="65">
        <v>278.3</v>
      </c>
      <c r="O22" s="65">
        <v>285.10000000000002</v>
      </c>
      <c r="P22" s="143">
        <v>293.65300000000002</v>
      </c>
      <c r="Q22" s="143">
        <v>302.46259000000003</v>
      </c>
      <c r="R22" s="143">
        <v>311.53646770000006</v>
      </c>
      <c r="S22" s="143">
        <v>320.88256173100007</v>
      </c>
      <c r="T22" s="143">
        <v>330.50903858293009</v>
      </c>
      <c r="U22" s="143">
        <v>340.42430974041798</v>
      </c>
      <c r="V22" s="41"/>
    </row>
    <row r="23" spans="2:22" s="59" customFormat="1" ht="13">
      <c r="B23" s="43"/>
      <c r="C23" s="62"/>
      <c r="D23" s="43"/>
      <c r="E23" s="43"/>
      <c r="F23" s="43"/>
      <c r="G23" s="4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0"/>
    </row>
    <row r="24" spans="2:22" s="59" customFormat="1" ht="25">
      <c r="B24" s="43"/>
      <c r="C24" s="62"/>
      <c r="D24" s="43" t="s">
        <v>130</v>
      </c>
      <c r="E24" s="126" t="s">
        <v>231</v>
      </c>
      <c r="F24" s="43"/>
      <c r="G24" s="43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0"/>
    </row>
    <row r="25" spans="2:22" s="59" customFormat="1" ht="13">
      <c r="B25" s="43"/>
      <c r="C25" s="62"/>
      <c r="D25" s="43"/>
      <c r="E25" s="43"/>
      <c r="F25" s="43"/>
      <c r="G25" s="4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0"/>
    </row>
    <row r="26" spans="2:22" s="59" customFormat="1" ht="13">
      <c r="B26" s="43"/>
      <c r="C26" s="62" t="s">
        <v>131</v>
      </c>
      <c r="D26" s="43"/>
      <c r="E26" s="43"/>
      <c r="F26" s="43"/>
      <c r="G26" s="43"/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0</v>
      </c>
      <c r="U26" s="61">
        <v>0</v>
      </c>
      <c r="V26" s="60" t="s">
        <v>132</v>
      </c>
    </row>
    <row r="27" spans="2:22" s="40" customFormat="1" ht="12.75" customHeight="1">
      <c r="C27" s="53"/>
      <c r="I27" s="57" t="s">
        <v>115</v>
      </c>
      <c r="J27" s="57" t="s">
        <v>115</v>
      </c>
      <c r="K27" s="57" t="s">
        <v>115</v>
      </c>
      <c r="L27" s="57" t="s">
        <v>115</v>
      </c>
      <c r="M27" s="57" t="s">
        <v>115</v>
      </c>
      <c r="N27" s="57" t="s">
        <v>115</v>
      </c>
      <c r="O27" s="57" t="s">
        <v>115</v>
      </c>
      <c r="P27" s="57" t="s">
        <v>115</v>
      </c>
      <c r="Q27" s="57" t="s">
        <v>115</v>
      </c>
      <c r="R27" s="57" t="s">
        <v>115</v>
      </c>
      <c r="S27" s="57" t="s">
        <v>115</v>
      </c>
      <c r="T27" s="57" t="s">
        <v>115</v>
      </c>
      <c r="U27" s="57" t="s">
        <v>115</v>
      </c>
      <c r="V27" s="41"/>
    </row>
    <row r="28" spans="2:22" s="40" customFormat="1" ht="12.75" customHeight="1">
      <c r="E28" s="58" t="s">
        <v>133</v>
      </c>
      <c r="F28" s="58"/>
      <c r="G28" s="58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41"/>
    </row>
    <row r="29" spans="2:22" ht="12.75" customHeight="1">
      <c r="B29" s="55">
        <v>1</v>
      </c>
      <c r="C29" s="53"/>
      <c r="D29" s="52" t="s">
        <v>117</v>
      </c>
      <c r="E29" s="44" t="s">
        <v>118</v>
      </c>
      <c r="F29" s="44"/>
      <c r="G29" s="44"/>
      <c r="H29" s="55">
        <v>0</v>
      </c>
      <c r="I29" s="54">
        <f t="shared" ref="I29:U29" si="2">IF(I11&lt;&gt;0,I11,H29*SUM(1,I$24))</f>
        <v>242.5</v>
      </c>
      <c r="J29" s="54">
        <f t="shared" si="2"/>
        <v>249.5</v>
      </c>
      <c r="K29" s="54">
        <f t="shared" si="2"/>
        <v>255.7</v>
      </c>
      <c r="L29" s="54">
        <f t="shared" si="2"/>
        <v>258</v>
      </c>
      <c r="M29" s="54">
        <f t="shared" si="2"/>
        <v>261.39999999999998</v>
      </c>
      <c r="N29" s="54">
        <f t="shared" si="2"/>
        <v>270.60000000000002</v>
      </c>
      <c r="O29" s="54">
        <f t="shared" si="2"/>
        <v>279.7</v>
      </c>
      <c r="P29" s="54">
        <f t="shared" si="2"/>
        <v>288.09100000000001</v>
      </c>
      <c r="Q29" s="54">
        <f t="shared" si="2"/>
        <v>296.73373000000004</v>
      </c>
      <c r="R29" s="54">
        <f t="shared" si="2"/>
        <v>305.63574190000003</v>
      </c>
      <c r="S29" s="54">
        <f t="shared" si="2"/>
        <v>314.80481415700001</v>
      </c>
      <c r="T29" s="54">
        <f t="shared" si="2"/>
        <v>324.24895858171004</v>
      </c>
      <c r="U29" s="54">
        <f t="shared" si="2"/>
        <v>333.97642733916138</v>
      </c>
    </row>
    <row r="30" spans="2:22" ht="12.75" customHeight="1">
      <c r="B30" s="55">
        <v>2</v>
      </c>
      <c r="C30" s="53"/>
      <c r="D30" s="52" t="s">
        <v>117</v>
      </c>
      <c r="E30" s="44" t="s">
        <v>119</v>
      </c>
      <c r="F30" s="44"/>
      <c r="G30" s="44"/>
      <c r="H30" s="55">
        <v>0</v>
      </c>
      <c r="I30" s="54">
        <f t="shared" ref="I30:U30" si="3">IF(I12&lt;&gt;0,I12,H30*SUM(1,I$24))</f>
        <v>242.4</v>
      </c>
      <c r="J30" s="54">
        <f t="shared" si="3"/>
        <v>250</v>
      </c>
      <c r="K30" s="54">
        <f t="shared" si="3"/>
        <v>255.9</v>
      </c>
      <c r="L30" s="54">
        <f t="shared" si="3"/>
        <v>258.5</v>
      </c>
      <c r="M30" s="54">
        <f t="shared" si="3"/>
        <v>262.10000000000002</v>
      </c>
      <c r="N30" s="54">
        <f t="shared" si="3"/>
        <v>271.7</v>
      </c>
      <c r="O30" s="54">
        <f t="shared" si="3"/>
        <v>280.7</v>
      </c>
      <c r="P30" s="54">
        <f t="shared" si="3"/>
        <v>289.12099999999998</v>
      </c>
      <c r="Q30" s="54">
        <f t="shared" si="3"/>
        <v>297.79462999999998</v>
      </c>
      <c r="R30" s="54">
        <f t="shared" si="3"/>
        <v>306.7284689</v>
      </c>
      <c r="S30" s="54">
        <f t="shared" si="3"/>
        <v>315.930322967</v>
      </c>
      <c r="T30" s="54">
        <f t="shared" si="3"/>
        <v>325.40823265601</v>
      </c>
      <c r="U30" s="54">
        <f t="shared" si="3"/>
        <v>335.1704796356903</v>
      </c>
    </row>
    <row r="31" spans="2:22" ht="12.75" customHeight="1">
      <c r="B31" s="55">
        <v>3</v>
      </c>
      <c r="C31" s="53"/>
      <c r="D31" s="52" t="s">
        <v>117</v>
      </c>
      <c r="E31" s="44" t="s">
        <v>120</v>
      </c>
      <c r="F31" s="44"/>
      <c r="G31" s="44"/>
      <c r="H31" s="55">
        <v>0</v>
      </c>
      <c r="I31" s="54">
        <f t="shared" ref="I31:U31" si="4">IF(I13&lt;&gt;0,I13,H31*SUM(1,I$24))</f>
        <v>241.8</v>
      </c>
      <c r="J31" s="54">
        <f t="shared" si="4"/>
        <v>249.7</v>
      </c>
      <c r="K31" s="54">
        <f t="shared" si="4"/>
        <v>256.3</v>
      </c>
      <c r="L31" s="54">
        <f t="shared" si="4"/>
        <v>258.89999999999998</v>
      </c>
      <c r="M31" s="54">
        <f t="shared" si="4"/>
        <v>263.10000000000002</v>
      </c>
      <c r="N31" s="54">
        <f t="shared" si="4"/>
        <v>272.3</v>
      </c>
      <c r="O31" s="54">
        <f t="shared" si="4"/>
        <v>281.5</v>
      </c>
      <c r="P31" s="54">
        <f t="shared" si="4"/>
        <v>289.94499999999999</v>
      </c>
      <c r="Q31" s="54">
        <f t="shared" si="4"/>
        <v>298.64335</v>
      </c>
      <c r="R31" s="54">
        <f t="shared" si="4"/>
        <v>307.60265049999998</v>
      </c>
      <c r="S31" s="54">
        <f t="shared" si="4"/>
        <v>316.83073001499997</v>
      </c>
      <c r="T31" s="54">
        <f t="shared" si="4"/>
        <v>326.33565191545</v>
      </c>
      <c r="U31" s="54">
        <f t="shared" si="4"/>
        <v>336.12572147291348</v>
      </c>
    </row>
    <row r="32" spans="2:22" ht="12.75" customHeight="1">
      <c r="B32" s="55">
        <v>4</v>
      </c>
      <c r="C32" s="53"/>
      <c r="D32" s="52" t="s">
        <v>117</v>
      </c>
      <c r="E32" s="44" t="s">
        <v>121</v>
      </c>
      <c r="F32" s="44"/>
      <c r="G32" s="44"/>
      <c r="H32" s="55">
        <v>0</v>
      </c>
      <c r="I32" s="54">
        <f t="shared" ref="I32:U32" si="5">IF(I14&lt;&gt;0,I14,H32*SUM(1,I$24))</f>
        <v>242.1</v>
      </c>
      <c r="J32" s="54">
        <f t="shared" si="5"/>
        <v>249.7</v>
      </c>
      <c r="K32" s="54">
        <f t="shared" si="5"/>
        <v>256</v>
      </c>
      <c r="L32" s="54">
        <f t="shared" si="5"/>
        <v>258.60000000000002</v>
      </c>
      <c r="M32" s="54">
        <f t="shared" si="5"/>
        <v>263.39999999999998</v>
      </c>
      <c r="N32" s="54">
        <f t="shared" si="5"/>
        <v>272.89999999999998</v>
      </c>
      <c r="O32" s="54">
        <f t="shared" si="5"/>
        <v>281.7</v>
      </c>
      <c r="P32" s="54">
        <f t="shared" si="5"/>
        <v>290.15100000000001</v>
      </c>
      <c r="Q32" s="54">
        <f t="shared" si="5"/>
        <v>298.85553000000004</v>
      </c>
      <c r="R32" s="54">
        <f t="shared" si="5"/>
        <v>307.82119590000008</v>
      </c>
      <c r="S32" s="54">
        <f t="shared" si="5"/>
        <v>317.05583177700009</v>
      </c>
      <c r="T32" s="54">
        <f t="shared" si="5"/>
        <v>326.56750673031013</v>
      </c>
      <c r="U32" s="54">
        <f t="shared" si="5"/>
        <v>336.36453193221945</v>
      </c>
    </row>
    <row r="33" spans="2:22" ht="12.75" customHeight="1">
      <c r="B33" s="55">
        <v>5</v>
      </c>
      <c r="C33" s="53"/>
      <c r="D33" s="52" t="s">
        <v>117</v>
      </c>
      <c r="E33" s="44" t="s">
        <v>122</v>
      </c>
      <c r="F33" s="44"/>
      <c r="G33" s="44"/>
      <c r="H33" s="55">
        <v>0</v>
      </c>
      <c r="I33" s="54">
        <f t="shared" ref="I33:U33" si="6">IF(I15&lt;&gt;0,I15,H33*SUM(1,I$24))</f>
        <v>243</v>
      </c>
      <c r="J33" s="54">
        <f t="shared" si="6"/>
        <v>251</v>
      </c>
      <c r="K33" s="54">
        <f t="shared" si="6"/>
        <v>257</v>
      </c>
      <c r="L33" s="54">
        <f t="shared" si="6"/>
        <v>259.8</v>
      </c>
      <c r="M33" s="54">
        <f t="shared" si="6"/>
        <v>264.39999999999998</v>
      </c>
      <c r="N33" s="54">
        <f t="shared" si="6"/>
        <v>274.7</v>
      </c>
      <c r="O33" s="54">
        <f t="shared" si="6"/>
        <v>284.2</v>
      </c>
      <c r="P33" s="54">
        <f t="shared" si="6"/>
        <v>292.726</v>
      </c>
      <c r="Q33" s="54">
        <f t="shared" si="6"/>
        <v>301.50778000000003</v>
      </c>
      <c r="R33" s="54">
        <f t="shared" si="6"/>
        <v>310.55301340000005</v>
      </c>
      <c r="S33" s="54">
        <f t="shared" si="6"/>
        <v>319.86960380200009</v>
      </c>
      <c r="T33" s="54">
        <f t="shared" si="6"/>
        <v>329.46569191606011</v>
      </c>
      <c r="U33" s="54">
        <f t="shared" si="6"/>
        <v>339.3496626735419</v>
      </c>
    </row>
    <row r="34" spans="2:22" ht="12.75" customHeight="1">
      <c r="B34" s="55">
        <v>6</v>
      </c>
      <c r="C34" s="53"/>
      <c r="D34" s="52" t="s">
        <v>117</v>
      </c>
      <c r="E34" s="44" t="s">
        <v>123</v>
      </c>
      <c r="F34" s="44"/>
      <c r="G34" s="44"/>
      <c r="H34" s="55">
        <v>0</v>
      </c>
      <c r="I34" s="54">
        <f t="shared" ref="I34:U34" si="7">IF(I16&lt;&gt;0,I16,H34*SUM(1,I$24))</f>
        <v>244.2</v>
      </c>
      <c r="J34" s="54">
        <f t="shared" si="7"/>
        <v>251.9</v>
      </c>
      <c r="K34" s="54">
        <f t="shared" si="7"/>
        <v>257.60000000000002</v>
      </c>
      <c r="L34" s="54">
        <f t="shared" si="7"/>
        <v>259.60000000000002</v>
      </c>
      <c r="M34" s="54">
        <f t="shared" si="7"/>
        <v>264.89999999999998</v>
      </c>
      <c r="N34" s="54">
        <f t="shared" si="7"/>
        <v>275.10000000000002</v>
      </c>
      <c r="O34" s="54">
        <f t="shared" si="7"/>
        <v>284.10000000000002</v>
      </c>
      <c r="P34" s="54">
        <f t="shared" si="7"/>
        <v>292.62300000000005</v>
      </c>
      <c r="Q34" s="54">
        <f t="shared" si="7"/>
        <v>301.40169000000003</v>
      </c>
      <c r="R34" s="54">
        <f t="shared" si="7"/>
        <v>310.44374070000003</v>
      </c>
      <c r="S34" s="54">
        <f t="shared" si="7"/>
        <v>319.75705292100002</v>
      </c>
      <c r="T34" s="54">
        <f t="shared" si="7"/>
        <v>329.34976450863002</v>
      </c>
      <c r="U34" s="54">
        <f t="shared" si="7"/>
        <v>339.23025744388895</v>
      </c>
    </row>
    <row r="35" spans="2:22" ht="12.75" customHeight="1">
      <c r="B35" s="55">
        <v>7</v>
      </c>
      <c r="C35" s="53"/>
      <c r="D35" s="52" t="s">
        <v>117</v>
      </c>
      <c r="E35" s="44" t="s">
        <v>124</v>
      </c>
      <c r="F35" s="44"/>
      <c r="G35" s="44"/>
      <c r="H35" s="55">
        <v>0</v>
      </c>
      <c r="I35" s="54">
        <f t="shared" ref="I35:U35" si="8">IF(I17&lt;&gt;0,I17,H35*SUM(1,I$24))</f>
        <v>245.6</v>
      </c>
      <c r="J35" s="54">
        <f t="shared" si="8"/>
        <v>251.9</v>
      </c>
      <c r="K35" s="54">
        <f t="shared" si="8"/>
        <v>257.7</v>
      </c>
      <c r="L35" s="54">
        <f t="shared" si="8"/>
        <v>259.5</v>
      </c>
      <c r="M35" s="54">
        <f t="shared" si="8"/>
        <v>264.8</v>
      </c>
      <c r="N35" s="54">
        <f t="shared" si="8"/>
        <v>275.3</v>
      </c>
      <c r="O35" s="54">
        <f t="shared" si="8"/>
        <v>284.5</v>
      </c>
      <c r="P35" s="54">
        <f t="shared" si="8"/>
        <v>293.03500000000003</v>
      </c>
      <c r="Q35" s="54">
        <f t="shared" si="8"/>
        <v>301.82605000000001</v>
      </c>
      <c r="R35" s="54">
        <f t="shared" si="8"/>
        <v>310.8808315</v>
      </c>
      <c r="S35" s="54">
        <f t="shared" si="8"/>
        <v>320.20725644499998</v>
      </c>
      <c r="T35" s="54">
        <f t="shared" si="8"/>
        <v>329.81347413834999</v>
      </c>
      <c r="U35" s="54">
        <f t="shared" si="8"/>
        <v>339.70787836250048</v>
      </c>
    </row>
    <row r="36" spans="2:22" ht="12.75" customHeight="1">
      <c r="B36" s="55">
        <v>8</v>
      </c>
      <c r="C36" s="53"/>
      <c r="D36" s="52" t="s">
        <v>117</v>
      </c>
      <c r="E36" s="44" t="s">
        <v>125</v>
      </c>
      <c r="F36" s="44"/>
      <c r="G36" s="44"/>
      <c r="H36" s="56">
        <f>H18</f>
        <v>238.5</v>
      </c>
      <c r="I36" s="54">
        <f t="shared" ref="I36:U36" si="9">IF(I18&lt;&gt;0,I18,H36*SUM(1,I$24))</f>
        <v>245.6</v>
      </c>
      <c r="J36" s="54">
        <f t="shared" si="9"/>
        <v>252.1</v>
      </c>
      <c r="K36" s="54">
        <f t="shared" si="9"/>
        <v>257.10000000000002</v>
      </c>
      <c r="L36" s="54">
        <f t="shared" si="9"/>
        <v>259.8</v>
      </c>
      <c r="M36" s="54">
        <f t="shared" si="9"/>
        <v>265.5</v>
      </c>
      <c r="N36" s="54">
        <f t="shared" si="9"/>
        <v>275.8</v>
      </c>
      <c r="O36" s="54">
        <f t="shared" si="9"/>
        <v>284.60000000000002</v>
      </c>
      <c r="P36" s="54">
        <f t="shared" si="9"/>
        <v>293.13800000000003</v>
      </c>
      <c r="Q36" s="54">
        <f t="shared" si="9"/>
        <v>301.93214000000006</v>
      </c>
      <c r="R36" s="54">
        <f t="shared" si="9"/>
        <v>310.99010420000008</v>
      </c>
      <c r="S36" s="54">
        <f t="shared" si="9"/>
        <v>320.3198073260001</v>
      </c>
      <c r="T36" s="54">
        <f t="shared" si="9"/>
        <v>329.92940154578014</v>
      </c>
      <c r="U36" s="54">
        <f t="shared" si="9"/>
        <v>339.82728359215355</v>
      </c>
    </row>
    <row r="37" spans="2:22" ht="12.75" customHeight="1">
      <c r="B37" s="55">
        <v>9</v>
      </c>
      <c r="C37" s="53"/>
      <c r="D37" s="52" t="s">
        <v>117</v>
      </c>
      <c r="E37" s="44" t="s">
        <v>126</v>
      </c>
      <c r="F37" s="44"/>
      <c r="G37" s="44"/>
      <c r="H37" s="55">
        <v>0</v>
      </c>
      <c r="I37" s="54">
        <f t="shared" ref="I37:U37" si="10">IF(I19&lt;&gt;0,I19,H37*SUM(1,I$24))</f>
        <v>246.8</v>
      </c>
      <c r="J37" s="54">
        <f t="shared" si="10"/>
        <v>253.4</v>
      </c>
      <c r="K37" s="54">
        <f t="shared" si="10"/>
        <v>257.5</v>
      </c>
      <c r="L37" s="54">
        <f t="shared" si="10"/>
        <v>260.60000000000002</v>
      </c>
      <c r="M37" s="54">
        <f t="shared" si="10"/>
        <v>267.10000000000002</v>
      </c>
      <c r="N37" s="54">
        <f t="shared" si="10"/>
        <v>278.10000000000002</v>
      </c>
      <c r="O37" s="54">
        <f t="shared" si="10"/>
        <v>285.60000000000002</v>
      </c>
      <c r="P37" s="54">
        <f t="shared" si="10"/>
        <v>294.16800000000001</v>
      </c>
      <c r="Q37" s="54">
        <f t="shared" si="10"/>
        <v>302.99304000000001</v>
      </c>
      <c r="R37" s="54">
        <f t="shared" si="10"/>
        <v>312.08283120000004</v>
      </c>
      <c r="S37" s="54">
        <f t="shared" si="10"/>
        <v>321.44531613600003</v>
      </c>
      <c r="T37" s="54">
        <f t="shared" si="10"/>
        <v>331.08867562008004</v>
      </c>
      <c r="U37" s="54">
        <f t="shared" si="10"/>
        <v>341.02133588868247</v>
      </c>
    </row>
    <row r="38" spans="2:22" ht="12.75" customHeight="1">
      <c r="B38" s="55">
        <v>10</v>
      </c>
      <c r="C38" s="53"/>
      <c r="D38" s="52" t="s">
        <v>117</v>
      </c>
      <c r="E38" s="44" t="s">
        <v>127</v>
      </c>
      <c r="F38" s="44"/>
      <c r="G38" s="44"/>
      <c r="H38" s="55">
        <v>0</v>
      </c>
      <c r="I38" s="54">
        <f t="shared" ref="I38:U38" si="11">IF(I20&lt;&gt;0,I20,H38*SUM(1,I$24))</f>
        <v>245.8</v>
      </c>
      <c r="J38" s="54">
        <f t="shared" si="11"/>
        <v>252.6</v>
      </c>
      <c r="K38" s="54">
        <f t="shared" si="11"/>
        <v>255.4</v>
      </c>
      <c r="L38" s="54">
        <f t="shared" si="11"/>
        <v>258.8</v>
      </c>
      <c r="M38" s="54">
        <f t="shared" si="11"/>
        <v>265.5</v>
      </c>
      <c r="N38" s="54">
        <f t="shared" si="11"/>
        <v>276</v>
      </c>
      <c r="O38" s="54">
        <f t="shared" si="11"/>
        <v>283</v>
      </c>
      <c r="P38" s="54">
        <f t="shared" si="11"/>
        <v>291.49</v>
      </c>
      <c r="Q38" s="54">
        <f t="shared" si="11"/>
        <v>300.23470000000003</v>
      </c>
      <c r="R38" s="54">
        <f t="shared" si="11"/>
        <v>309.24174100000005</v>
      </c>
      <c r="S38" s="54">
        <f t="shared" si="11"/>
        <v>318.51899323000004</v>
      </c>
      <c r="T38" s="54">
        <f t="shared" si="11"/>
        <v>328.07456302690002</v>
      </c>
      <c r="U38" s="54">
        <f t="shared" si="11"/>
        <v>337.91679991770701</v>
      </c>
    </row>
    <row r="39" spans="2:22" ht="12.75" customHeight="1">
      <c r="B39" s="55">
        <v>11</v>
      </c>
      <c r="C39" s="53"/>
      <c r="D39" s="52" t="s">
        <v>117</v>
      </c>
      <c r="E39" s="44" t="s">
        <v>128</v>
      </c>
      <c r="F39" s="44"/>
      <c r="G39" s="44"/>
      <c r="H39" s="55">
        <v>0</v>
      </c>
      <c r="I39" s="54">
        <f t="shared" ref="I39:U39" si="12">IF(I21&lt;&gt;0,I21,H39*SUM(1,I$24))</f>
        <v>247.6</v>
      </c>
      <c r="J39" s="54">
        <f t="shared" si="12"/>
        <v>254.2</v>
      </c>
      <c r="K39" s="54">
        <f t="shared" si="12"/>
        <v>256.7</v>
      </c>
      <c r="L39" s="54">
        <f t="shared" si="12"/>
        <v>260</v>
      </c>
      <c r="M39" s="54">
        <f t="shared" si="12"/>
        <v>268.39999999999998</v>
      </c>
      <c r="N39" s="54">
        <f t="shared" si="12"/>
        <v>278.10000000000002</v>
      </c>
      <c r="O39" s="54">
        <f t="shared" si="12"/>
        <v>285</v>
      </c>
      <c r="P39" s="54">
        <f t="shared" si="12"/>
        <v>293.55</v>
      </c>
      <c r="Q39" s="54">
        <f t="shared" si="12"/>
        <v>302.35650000000004</v>
      </c>
      <c r="R39" s="54">
        <f t="shared" si="12"/>
        <v>311.42719500000004</v>
      </c>
      <c r="S39" s="54">
        <f t="shared" si="12"/>
        <v>320.77001085000006</v>
      </c>
      <c r="T39" s="54">
        <f t="shared" si="12"/>
        <v>330.39311117550005</v>
      </c>
      <c r="U39" s="54">
        <f t="shared" si="12"/>
        <v>340.30490451076508</v>
      </c>
    </row>
    <row r="40" spans="2:22" ht="12.75" customHeight="1">
      <c r="B40" s="55">
        <v>12</v>
      </c>
      <c r="C40" s="53"/>
      <c r="D40" s="52" t="s">
        <v>117</v>
      </c>
      <c r="E40" s="44" t="s">
        <v>129</v>
      </c>
      <c r="F40" s="44"/>
      <c r="G40" s="44"/>
      <c r="H40" s="55">
        <v>0</v>
      </c>
      <c r="I40" s="54">
        <f t="shared" ref="I40:U40" si="13">IF(I22&lt;&gt;0,I22,H40*SUM(1,I$24))</f>
        <v>248.7</v>
      </c>
      <c r="J40" s="54">
        <f t="shared" si="13"/>
        <v>254.8</v>
      </c>
      <c r="K40" s="54">
        <f t="shared" si="13"/>
        <v>257.10000000000002</v>
      </c>
      <c r="L40" s="54">
        <f t="shared" si="13"/>
        <v>261.10000000000002</v>
      </c>
      <c r="M40" s="54">
        <f t="shared" si="13"/>
        <v>269.3</v>
      </c>
      <c r="N40" s="54">
        <f t="shared" si="13"/>
        <v>278.3</v>
      </c>
      <c r="O40" s="54">
        <f t="shared" si="13"/>
        <v>285.10000000000002</v>
      </c>
      <c r="P40" s="54">
        <f t="shared" si="13"/>
        <v>293.65300000000002</v>
      </c>
      <c r="Q40" s="54">
        <f t="shared" si="13"/>
        <v>302.46259000000003</v>
      </c>
      <c r="R40" s="54">
        <f t="shared" si="13"/>
        <v>311.53646770000006</v>
      </c>
      <c r="S40" s="54">
        <f t="shared" si="13"/>
        <v>320.88256173100007</v>
      </c>
      <c r="T40" s="54">
        <f t="shared" si="13"/>
        <v>330.50903858293009</v>
      </c>
      <c r="U40" s="54">
        <f t="shared" si="13"/>
        <v>340.42430974041798</v>
      </c>
    </row>
    <row r="41" spans="2:22" ht="12.75" customHeight="1">
      <c r="B41" s="53"/>
      <c r="C41" s="53"/>
      <c r="D41" s="52" t="s">
        <v>117</v>
      </c>
      <c r="E41" s="44" t="s">
        <v>134</v>
      </c>
      <c r="F41" s="44"/>
      <c r="G41" s="44"/>
      <c r="I41" s="51">
        <f t="shared" ref="I41:U41" si="14">IF(SUM(I29:I40)=0,0,AVERAGE(I29:I40))</f>
        <v>244.67499999999998</v>
      </c>
      <c r="J41" s="50">
        <f t="shared" si="14"/>
        <v>251.73333333333335</v>
      </c>
      <c r="K41" s="50">
        <f t="shared" si="14"/>
        <v>256.66666666666669</v>
      </c>
      <c r="L41" s="51">
        <f t="shared" si="14"/>
        <v>259.43333333333334</v>
      </c>
      <c r="M41" s="50">
        <f t="shared" si="14"/>
        <v>264.99166666666673</v>
      </c>
      <c r="N41" s="50">
        <f t="shared" si="14"/>
        <v>274.90833333333336</v>
      </c>
      <c r="O41" s="50">
        <f t="shared" si="14"/>
        <v>283.30833333333334</v>
      </c>
      <c r="P41" s="50">
        <f t="shared" si="14"/>
        <v>291.80758333333341</v>
      </c>
      <c r="Q41" s="50">
        <f t="shared" si="14"/>
        <v>300.56181083333337</v>
      </c>
      <c r="R41" s="50">
        <f t="shared" si="14"/>
        <v>309.57866515833337</v>
      </c>
      <c r="S41" s="50">
        <f t="shared" si="14"/>
        <v>318.86602511308331</v>
      </c>
      <c r="T41" s="50">
        <f t="shared" si="14"/>
        <v>328.43200586647589</v>
      </c>
      <c r="U41" s="50">
        <f t="shared" si="14"/>
        <v>338.28496604247016</v>
      </c>
    </row>
    <row r="42" spans="2:22" s="40" customFormat="1" ht="12.75" customHeight="1">
      <c r="V42" s="41"/>
    </row>
    <row r="43" spans="2:22" s="40" customFormat="1" ht="12.75" customHeight="1">
      <c r="E43" s="49"/>
      <c r="F43" s="49"/>
      <c r="G43" s="49"/>
      <c r="V43" s="41"/>
    </row>
    <row r="44" spans="2:22" s="40" customFormat="1" ht="12.75" customHeight="1">
      <c r="D44" s="43"/>
      <c r="E44" s="47"/>
      <c r="F44" s="47"/>
      <c r="G44" s="4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41"/>
    </row>
    <row r="45" spans="2:22" s="40" customFormat="1" ht="12.75" customHeight="1">
      <c r="C45" s="45"/>
      <c r="D45" s="43"/>
      <c r="E45" s="44"/>
      <c r="F45" s="44"/>
      <c r="G45" s="44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1"/>
    </row>
    <row r="46" spans="2:22" s="40" customFormat="1" ht="12.75" customHeight="1">
      <c r="C46" s="45"/>
      <c r="D46" s="43"/>
      <c r="E46" s="44"/>
      <c r="F46" s="44"/>
      <c r="G46" s="44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1"/>
    </row>
    <row r="47" spans="2:22" s="40" customFormat="1" ht="12.75" customHeight="1">
      <c r="E47" s="49" t="s">
        <v>138</v>
      </c>
      <c r="F47" s="48"/>
      <c r="G47" s="48"/>
    </row>
    <row r="48" spans="2:22" s="40" customFormat="1" ht="12.75" customHeight="1">
      <c r="D48" s="43" t="s">
        <v>135</v>
      </c>
      <c r="E48" s="47" t="s">
        <v>136</v>
      </c>
      <c r="F48" s="47"/>
      <c r="G48" s="47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1" t="s">
        <v>139</v>
      </c>
    </row>
    <row r="49" spans="1:22" s="40" customFormat="1" ht="12.75" customHeight="1">
      <c r="D49" s="43" t="s">
        <v>130</v>
      </c>
      <c r="E49" s="44" t="s">
        <v>137</v>
      </c>
      <c r="F49" s="47"/>
      <c r="G49" s="47"/>
      <c r="I49" s="42">
        <f t="shared" ref="I49:U49" si="15">IF(Indexation.November.Actual.Override&lt;&gt;"",Indexation.November.Actual.Override,IF($H$36=0,0,H36/$H$36))</f>
        <v>1</v>
      </c>
      <c r="J49" s="42">
        <f t="shared" si="15"/>
        <v>1.0297693920335429</v>
      </c>
      <c r="K49" s="42">
        <f t="shared" si="15"/>
        <v>1.0570230607966458</v>
      </c>
      <c r="L49" s="42">
        <f t="shared" si="15"/>
        <v>1.077987421383648</v>
      </c>
      <c r="M49" s="42">
        <f t="shared" si="15"/>
        <v>1.0893081761006289</v>
      </c>
      <c r="N49" s="42">
        <f t="shared" si="15"/>
        <v>1.1132075471698113</v>
      </c>
      <c r="O49" s="42">
        <f t="shared" si="15"/>
        <v>1.1563941299790357</v>
      </c>
      <c r="P49" s="42">
        <f t="shared" si="15"/>
        <v>1.1932914046121594</v>
      </c>
      <c r="Q49" s="42">
        <f t="shared" si="15"/>
        <v>1.2290901467505242</v>
      </c>
      <c r="R49" s="42">
        <f t="shared" si="15"/>
        <v>1.2659628511530401</v>
      </c>
      <c r="S49" s="42">
        <f t="shared" si="15"/>
        <v>1.3039417366876314</v>
      </c>
      <c r="T49" s="42">
        <f t="shared" si="15"/>
        <v>1.3430599887882604</v>
      </c>
      <c r="U49" s="42">
        <f t="shared" si="15"/>
        <v>1.3833517884519084</v>
      </c>
      <c r="V49" s="41" t="s">
        <v>140</v>
      </c>
    </row>
    <row r="50" spans="1:22" ht="12.75" customHeight="1">
      <c r="A50" s="40"/>
      <c r="B50" s="40"/>
      <c r="C50" s="45"/>
      <c r="D50" s="43"/>
      <c r="E50" s="44"/>
      <c r="F50" s="44"/>
      <c r="G50" s="44"/>
      <c r="H50" s="40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1"/>
    </row>
    <row r="51" spans="1:22" ht="12.75" customHeight="1">
      <c r="A51" s="40"/>
      <c r="B51" s="40"/>
      <c r="C51" s="40"/>
      <c r="D51" s="43" t="s">
        <v>130</v>
      </c>
      <c r="E51" s="49" t="s">
        <v>141</v>
      </c>
      <c r="F51" s="44"/>
      <c r="G51" s="44"/>
      <c r="H51" s="40"/>
      <c r="I51" s="42"/>
      <c r="J51" s="42">
        <f t="shared" ref="J51:U51" si="16">IF(Indexation.November.Actual.Override&lt;&gt;"",IF(I48=0,0,J48/I48),IF(H36=0,0,I36/H36))</f>
        <v>1.0297693920335429</v>
      </c>
      <c r="K51" s="42">
        <f t="shared" si="16"/>
        <v>1.0264657980456027</v>
      </c>
      <c r="L51" s="42">
        <f t="shared" si="16"/>
        <v>1.0198333994446649</v>
      </c>
      <c r="M51" s="42">
        <f t="shared" si="16"/>
        <v>1.0105017502917153</v>
      </c>
      <c r="N51" s="42">
        <f t="shared" si="16"/>
        <v>1.0219399538106235</v>
      </c>
      <c r="O51" s="42">
        <f t="shared" si="16"/>
        <v>1.0387947269303202</v>
      </c>
      <c r="P51" s="42">
        <f t="shared" si="16"/>
        <v>1.0319071791153009</v>
      </c>
      <c r="Q51" s="42">
        <f t="shared" si="16"/>
        <v>1.03</v>
      </c>
      <c r="R51" s="42">
        <f t="shared" si="16"/>
        <v>1.03</v>
      </c>
      <c r="S51" s="42">
        <f t="shared" si="16"/>
        <v>1.03</v>
      </c>
      <c r="T51" s="42">
        <f t="shared" si="16"/>
        <v>1.03</v>
      </c>
      <c r="U51" s="42">
        <f t="shared" si="16"/>
        <v>1.03</v>
      </c>
      <c r="V51" s="41" t="s">
        <v>142</v>
      </c>
    </row>
    <row r="52" spans="1:22" ht="12.75" customHeight="1">
      <c r="A52" s="40"/>
      <c r="B52" s="40"/>
      <c r="C52" s="45"/>
      <c r="D52" s="43"/>
      <c r="E52" s="44"/>
      <c r="F52" s="44"/>
      <c r="G52" s="44"/>
      <c r="H52" s="40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1"/>
    </row>
    <row r="53" spans="1:22" ht="12.75" customHeight="1">
      <c r="A53" s="40"/>
      <c r="B53" s="40"/>
      <c r="C53" s="45"/>
      <c r="D53" s="43"/>
      <c r="E53" s="44"/>
      <c r="F53" s="44"/>
      <c r="G53" s="44"/>
      <c r="H53" s="40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1"/>
    </row>
    <row r="54" spans="1:22" s="40" customFormat="1" ht="12.75" customHeight="1">
      <c r="E54" s="48"/>
      <c r="F54" s="48"/>
      <c r="G54" s="48"/>
    </row>
    <row r="55" spans="1:22" s="40" customFormat="1" ht="12.75" customHeight="1">
      <c r="D55" s="43"/>
      <c r="E55" s="47"/>
      <c r="F55" s="47"/>
      <c r="G55" s="4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41"/>
    </row>
    <row r="56" spans="1:22" s="40" customFormat="1" ht="12.75" customHeight="1">
      <c r="C56" s="45"/>
      <c r="D56" s="43"/>
      <c r="E56" s="44"/>
      <c r="F56" s="44"/>
      <c r="G56" s="44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1"/>
    </row>
    <row r="57" spans="1:22" s="40" customFormat="1" ht="12.75" customHeight="1">
      <c r="C57" s="45"/>
      <c r="D57" s="43"/>
      <c r="E57" s="44"/>
      <c r="F57" s="44"/>
      <c r="G57" s="44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1"/>
    </row>
    <row r="58" spans="1:22" s="40" customFormat="1" ht="12.75" customHeight="1">
      <c r="C58" s="128"/>
      <c r="D58" s="43"/>
      <c r="E58" s="129"/>
      <c r="F58" s="129"/>
      <c r="G58" s="129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1"/>
    </row>
    <row r="59" spans="1:22" ht="12.75" customHeight="1" thickBot="1"/>
    <row r="60" spans="1:22" ht="12.75" customHeight="1" thickBot="1">
      <c r="A60" s="39" t="s">
        <v>111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7"/>
    </row>
    <row r="61" spans="1:22" ht="12.75" customHeight="1"/>
    <row r="62" spans="1:22" ht="12.75" hidden="1" customHeight="1"/>
    <row r="63" spans="1:22" ht="12.75" hidden="1" customHeight="1"/>
    <row r="64" spans="1:22" ht="12.75" hidden="1" customHeight="1"/>
    <row r="65" ht="12.75" hidden="1" customHeight="1"/>
  </sheetData>
  <dataConsolidate/>
  <conditionalFormatting sqref="I26:U26">
    <cfRule type="cellIs" dxfId="5" priority="1" stopIfTrue="1" operator="equal">
      <formula>0</formula>
    </cfRule>
    <cfRule type="cellIs" dxfId="4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customWidth="1"/>
    <col min="3" max="3" width="8" hidden="1" customWidth="1"/>
    <col min="4" max="4" width="9.1796875" hidden="1" customWidth="1"/>
    <col min="5" max="5" width="27" hidden="1" customWidth="1"/>
    <col min="6" max="8" width="9.1796875" hidden="1" customWidth="1"/>
    <col min="9" max="24" width="10.81640625" hidden="1" customWidth="1"/>
    <col min="25" max="16384" width="9.1796875" hidden="1"/>
  </cols>
  <sheetData>
    <row r="1" spans="1:24" ht="15.75" customHeight="1">
      <c r="A1" s="29"/>
    </row>
    <row r="2" spans="1:24" ht="14">
      <c r="A2" s="30"/>
      <c r="B2" s="30"/>
      <c r="C2" s="30"/>
      <c r="D2" s="2"/>
      <c r="E2" s="2"/>
      <c r="F2" s="15"/>
      <c r="G2" s="15"/>
      <c r="H2" s="2"/>
      <c r="I2" s="2"/>
      <c r="J2" s="2"/>
      <c r="K2" s="2"/>
      <c r="L2" s="2"/>
      <c r="M2" s="2"/>
      <c r="N2" s="2"/>
      <c r="O2" s="15"/>
      <c r="P2" s="15"/>
      <c r="Q2" s="2"/>
      <c r="R2" s="2"/>
      <c r="S2" s="2"/>
      <c r="T2" s="2"/>
      <c r="U2" s="2"/>
      <c r="V2" s="2"/>
      <c r="W2" s="2"/>
      <c r="X2" s="2"/>
    </row>
    <row r="3" spans="1:24" ht="14" hidden="1">
      <c r="A3" s="30"/>
      <c r="B3" s="30"/>
      <c r="C3" s="30"/>
      <c r="D3" s="2"/>
      <c r="E3" s="2"/>
      <c r="F3" s="15"/>
      <c r="G3" s="15"/>
      <c r="H3" s="2"/>
      <c r="I3" s="2"/>
      <c r="J3" s="2"/>
      <c r="K3" s="2"/>
      <c r="L3" s="2"/>
      <c r="M3" s="2"/>
      <c r="N3" s="2"/>
      <c r="O3" s="15"/>
      <c r="P3" s="15"/>
      <c r="Q3" s="2"/>
      <c r="R3" s="2"/>
      <c r="S3" s="2"/>
      <c r="T3" s="2"/>
      <c r="U3" s="2"/>
      <c r="V3" s="2"/>
      <c r="W3" s="2"/>
      <c r="X3" s="2"/>
    </row>
    <row r="4" spans="1:24" ht="14" hidden="1">
      <c r="A4" s="30"/>
      <c r="B4" s="30"/>
      <c r="C4" s="30"/>
      <c r="D4" s="2"/>
      <c r="E4" s="2"/>
      <c r="F4" s="15"/>
      <c r="G4" s="15"/>
      <c r="H4" s="2"/>
      <c r="I4" s="2"/>
      <c r="J4" s="2"/>
      <c r="K4" s="2"/>
      <c r="L4" s="2"/>
      <c r="M4" s="2"/>
      <c r="N4" s="2"/>
      <c r="O4" s="15"/>
      <c r="P4" s="15"/>
      <c r="Q4" s="2"/>
      <c r="R4" s="2"/>
      <c r="S4" s="2"/>
      <c r="T4" s="2"/>
      <c r="U4" s="2"/>
      <c r="V4" s="2"/>
      <c r="W4" s="2"/>
      <c r="X4" s="2"/>
    </row>
    <row r="5" spans="1:24" ht="14" hidden="1">
      <c r="A5" s="30"/>
      <c r="B5" s="30"/>
      <c r="C5" s="30"/>
      <c r="D5" s="2"/>
      <c r="E5" s="2"/>
      <c r="F5" s="15"/>
      <c r="G5" s="15"/>
      <c r="H5" s="2"/>
      <c r="I5" s="2"/>
      <c r="J5" s="2"/>
      <c r="K5" s="2"/>
      <c r="L5" s="2"/>
      <c r="M5" s="2"/>
      <c r="N5" s="2"/>
      <c r="O5" s="15"/>
      <c r="P5" s="15"/>
      <c r="Q5" s="2"/>
      <c r="R5" s="2"/>
      <c r="S5" s="2"/>
      <c r="T5" s="2"/>
      <c r="U5" s="2"/>
      <c r="V5" s="2"/>
      <c r="W5" s="2"/>
      <c r="X5" s="2"/>
    </row>
    <row r="6" spans="1:24" ht="14" hidden="1">
      <c r="A6" s="30"/>
      <c r="B6" s="30"/>
      <c r="C6" s="30"/>
      <c r="D6" s="2"/>
      <c r="E6" s="2"/>
      <c r="F6" s="15"/>
      <c r="G6" s="15"/>
      <c r="H6" s="2"/>
      <c r="I6" s="2"/>
      <c r="J6" s="2"/>
      <c r="K6" s="2"/>
      <c r="L6" s="2"/>
      <c r="M6" s="2"/>
      <c r="N6" s="2"/>
      <c r="O6" s="15"/>
      <c r="P6" s="15"/>
      <c r="Q6" s="2"/>
      <c r="R6" s="2"/>
      <c r="S6" s="2"/>
      <c r="T6" s="2"/>
      <c r="U6" s="2"/>
      <c r="V6" s="2"/>
      <c r="W6" s="2"/>
      <c r="X6" s="2"/>
    </row>
    <row r="7" spans="1:24" ht="14" hidden="1">
      <c r="A7" s="30"/>
      <c r="B7" s="30"/>
      <c r="C7" s="30"/>
      <c r="D7" s="2"/>
      <c r="E7" s="2"/>
      <c r="F7" s="15"/>
      <c r="G7" s="15"/>
      <c r="H7" s="2"/>
      <c r="I7" s="2"/>
      <c r="J7" s="2"/>
      <c r="K7" s="2"/>
      <c r="L7" s="2"/>
      <c r="M7" s="2"/>
      <c r="N7" s="2"/>
      <c r="O7" s="15"/>
      <c r="P7" s="15"/>
      <c r="Q7" s="2"/>
      <c r="R7" s="2"/>
      <c r="S7" s="2"/>
      <c r="T7" s="2"/>
      <c r="U7" s="2"/>
      <c r="V7" s="2"/>
      <c r="W7" s="2"/>
      <c r="X7" s="2"/>
    </row>
    <row r="8" spans="1:24" ht="14" hidden="1">
      <c r="A8" s="30"/>
      <c r="B8" s="30"/>
      <c r="C8" s="30"/>
      <c r="D8" s="2"/>
      <c r="E8" s="2"/>
      <c r="F8" s="15"/>
      <c r="G8" s="15"/>
      <c r="H8" s="2"/>
      <c r="I8" s="2"/>
      <c r="J8" s="2"/>
      <c r="K8" s="2"/>
      <c r="L8" s="2"/>
      <c r="M8" s="2"/>
      <c r="N8" s="2"/>
      <c r="O8" s="15"/>
      <c r="P8" s="15"/>
      <c r="Q8" s="2"/>
      <c r="R8" s="2"/>
      <c r="S8" s="2"/>
      <c r="T8" s="2"/>
      <c r="U8" s="2"/>
      <c r="V8" s="2"/>
      <c r="W8" s="2"/>
      <c r="X8" s="2"/>
    </row>
    <row r="9" spans="1:24" ht="14" hidden="1">
      <c r="A9" s="30"/>
      <c r="B9" s="30"/>
      <c r="C9" s="30"/>
      <c r="D9" s="2"/>
      <c r="E9" s="2"/>
      <c r="F9" s="15"/>
      <c r="G9" s="15"/>
      <c r="H9" s="2"/>
      <c r="I9" s="2"/>
      <c r="J9" s="2"/>
      <c r="K9" s="2"/>
      <c r="L9" s="2"/>
      <c r="M9" s="2"/>
      <c r="N9" s="2"/>
      <c r="O9" s="15"/>
      <c r="P9" s="15"/>
      <c r="Q9" s="2"/>
      <c r="R9" s="2"/>
      <c r="S9" s="2"/>
      <c r="T9" s="2"/>
      <c r="U9" s="2"/>
      <c r="V9" s="2"/>
      <c r="W9" s="2"/>
      <c r="X9" s="2"/>
    </row>
    <row r="10" spans="1:24" ht="14" hidden="1">
      <c r="A10" s="30"/>
      <c r="B10" s="30"/>
      <c r="C10" s="30"/>
      <c r="D10" s="2"/>
      <c r="E10" s="2"/>
      <c r="F10" s="15"/>
      <c r="G10" s="15"/>
      <c r="H10" s="2"/>
      <c r="I10" s="2"/>
      <c r="J10" s="2"/>
      <c r="K10" s="2"/>
      <c r="L10" s="2"/>
      <c r="M10" s="2"/>
      <c r="N10" s="2"/>
      <c r="O10" s="15"/>
      <c r="P10" s="15"/>
      <c r="Q10" s="2"/>
      <c r="R10" s="2"/>
      <c r="S10" s="2"/>
      <c r="T10" s="2"/>
      <c r="U10" s="2"/>
      <c r="V10" s="2"/>
      <c r="W10" s="2"/>
      <c r="X10" s="2"/>
    </row>
    <row r="11" spans="1:24" ht="14" hidden="1">
      <c r="A11" s="30"/>
      <c r="B11" s="30"/>
      <c r="C11" s="30"/>
      <c r="D11" s="2"/>
      <c r="E11" s="2"/>
      <c r="F11" s="15"/>
      <c r="G11" s="15"/>
      <c r="H11" s="2"/>
      <c r="I11" s="2"/>
      <c r="J11" s="2"/>
      <c r="K11" s="2"/>
      <c r="L11" s="2"/>
      <c r="M11" s="2"/>
      <c r="N11" s="2"/>
      <c r="O11" s="15"/>
      <c r="P11" s="15"/>
      <c r="Q11" s="2"/>
      <c r="R11" s="2"/>
      <c r="S11" s="2"/>
      <c r="T11" s="2"/>
      <c r="U11" s="2"/>
      <c r="V11" s="2"/>
      <c r="W11" s="2"/>
      <c r="X11" s="2"/>
    </row>
    <row r="12" spans="1:24" ht="14" hidden="1">
      <c r="A12" s="30"/>
      <c r="B12" s="30"/>
      <c r="C12" s="30"/>
      <c r="D12" s="2"/>
      <c r="E12" s="2"/>
      <c r="F12" s="15"/>
      <c r="G12" s="15"/>
      <c r="H12" s="2"/>
      <c r="I12" s="2"/>
      <c r="J12" s="2"/>
      <c r="K12" s="2"/>
      <c r="L12" s="2"/>
      <c r="M12" s="2"/>
      <c r="N12" s="2"/>
      <c r="O12" s="15"/>
      <c r="P12" s="15"/>
      <c r="Q12" s="2"/>
      <c r="R12" s="2"/>
      <c r="S12" s="2"/>
      <c r="T12" s="2"/>
      <c r="U12" s="2"/>
      <c r="V12" s="2"/>
      <c r="W12" s="2"/>
      <c r="X12" s="2"/>
    </row>
    <row r="13" spans="1:24" ht="14" hidden="1">
      <c r="A13" s="30"/>
      <c r="B13" s="30"/>
      <c r="C13" s="30"/>
      <c r="D13" s="2"/>
      <c r="E13" s="2"/>
      <c r="F13" s="15"/>
      <c r="G13" s="15"/>
      <c r="H13" s="2"/>
      <c r="I13" s="2"/>
      <c r="J13" s="2"/>
      <c r="K13" s="2"/>
      <c r="L13" s="2"/>
      <c r="M13" s="2"/>
      <c r="N13" s="2"/>
      <c r="O13" s="15"/>
      <c r="P13" s="15"/>
      <c r="Q13" s="2"/>
      <c r="R13" s="2"/>
      <c r="S13" s="2"/>
      <c r="T13" s="2"/>
      <c r="U13" s="2"/>
      <c r="V13" s="2"/>
      <c r="W13" s="2"/>
      <c r="X13" s="2"/>
    </row>
    <row r="14" spans="1:24" ht="14" hidden="1">
      <c r="A14" s="30"/>
      <c r="B14" s="30"/>
      <c r="C14" s="30"/>
      <c r="D14" s="2"/>
      <c r="E14" s="2"/>
      <c r="F14" s="15"/>
      <c r="G14" s="15"/>
      <c r="H14" s="2"/>
      <c r="I14" s="2"/>
      <c r="J14" s="2"/>
      <c r="K14" s="2"/>
      <c r="L14" s="2"/>
      <c r="M14" s="2"/>
      <c r="N14" s="2"/>
      <c r="O14" s="15"/>
      <c r="P14" s="15"/>
      <c r="Q14" s="2"/>
      <c r="R14" s="2"/>
      <c r="S14" s="2"/>
      <c r="T14" s="2"/>
      <c r="U14" s="2"/>
      <c r="V14" s="2"/>
      <c r="W14" s="2"/>
      <c r="X14" s="2"/>
    </row>
    <row r="15" spans="1:24" ht="14" hidden="1">
      <c r="A15" s="30"/>
      <c r="B15" s="30"/>
      <c r="C15" s="30"/>
      <c r="D15" s="2"/>
      <c r="E15" s="2"/>
      <c r="F15" s="15"/>
      <c r="G15" s="15"/>
      <c r="H15" s="2"/>
      <c r="I15" s="2"/>
      <c r="J15" s="2"/>
      <c r="K15" s="2"/>
      <c r="L15" s="2"/>
      <c r="M15" s="2"/>
      <c r="N15" s="2"/>
      <c r="O15" s="15"/>
      <c r="P15" s="15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3" tint="0.39997558519241921"/>
    <pageSetUpPr fitToPage="1"/>
  </sheetPr>
  <dimension ref="A1:W182"/>
  <sheetViews>
    <sheetView showGridLines="0" tabSelected="1" zoomScale="80" zoomScaleNormal="80" workbookViewId="0">
      <pane xSplit="8" ySplit="7" topLeftCell="I8" activePane="bottomRight" state="frozen"/>
      <selection activeCell="E25" sqref="E25"/>
      <selection pane="topRight" activeCell="E25" sqref="E25"/>
      <selection pane="bottomLeft" activeCell="E25" sqref="E25"/>
      <selection pane="bottomRight" activeCell="I8" sqref="I8"/>
    </sheetView>
  </sheetViews>
  <sheetFormatPr defaultColWidth="0" defaultRowHeight="12.5" zeroHeight="1"/>
  <cols>
    <col min="1" max="3" width="2.7265625" customWidth="1"/>
    <col min="4" max="4" width="9.1796875" customWidth="1"/>
    <col min="5" max="5" width="68.81640625" customWidth="1"/>
    <col min="6" max="6" width="15.7265625" style="34" customWidth="1"/>
    <col min="7" max="7" width="7.81640625" customWidth="1"/>
    <col min="8" max="8" width="11.81640625" customWidth="1"/>
    <col min="9" max="21" width="10.54296875" customWidth="1"/>
    <col min="22" max="22" width="26.26953125" customWidth="1"/>
    <col min="23" max="23" width="9.1796875" customWidth="1"/>
    <col min="24" max="28" width="0" hidden="1" customWidth="1"/>
  </cols>
  <sheetData>
    <row r="1" spans="1:23" s="2" customFormat="1" ht="32.5">
      <c r="A1" s="25"/>
      <c r="B1" s="25"/>
      <c r="C1" s="25"/>
      <c r="D1" s="25" t="s">
        <v>143</v>
      </c>
      <c r="E1" s="25"/>
      <c r="F1" s="109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s="2" customFormat="1" ht="14">
      <c r="F2" s="32"/>
      <c r="G2" s="15"/>
      <c r="O2" s="15"/>
      <c r="P2" s="15"/>
    </row>
    <row r="3" spans="1:23" s="3" customFormat="1" ht="13">
      <c r="A3" s="15"/>
      <c r="B3" s="15"/>
      <c r="C3" s="15"/>
      <c r="D3" s="15"/>
      <c r="E3" s="15" t="s">
        <v>57</v>
      </c>
      <c r="F3" s="32"/>
      <c r="G3" s="15"/>
      <c r="H3" s="15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2"/>
      <c r="W3" s="15"/>
    </row>
    <row r="4" spans="1:23" s="3" customFormat="1" ht="13">
      <c r="A4" s="110">
        <v>1</v>
      </c>
      <c r="B4" s="15"/>
      <c r="C4" s="15"/>
      <c r="D4" s="15"/>
      <c r="E4" s="15"/>
      <c r="F4" s="32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2"/>
      <c r="W4" s="15"/>
    </row>
    <row r="5" spans="1:23" s="3" customFormat="1" ht="13">
      <c r="A5" s="15"/>
      <c r="B5" s="15"/>
      <c r="C5" s="15"/>
      <c r="D5" s="15"/>
      <c r="E5" s="15" t="s">
        <v>58</v>
      </c>
      <c r="F5" s="32"/>
      <c r="G5" s="15"/>
      <c r="H5" s="15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12"/>
      <c r="W5" s="15"/>
    </row>
    <row r="6" spans="1:23" s="3" customFormat="1" ht="13">
      <c r="A6" s="15"/>
      <c r="B6" s="15"/>
      <c r="C6" s="15"/>
      <c r="D6" s="15"/>
      <c r="E6" s="15" t="s">
        <v>59</v>
      </c>
      <c r="F6" s="32"/>
      <c r="G6" s="15"/>
      <c r="H6" s="15"/>
      <c r="I6" s="15"/>
      <c r="J6" s="15"/>
      <c r="K6" s="6"/>
      <c r="L6" s="110">
        <v>1</v>
      </c>
      <c r="M6" s="110">
        <v>2</v>
      </c>
      <c r="N6" s="110">
        <v>3</v>
      </c>
      <c r="O6" s="110">
        <v>4</v>
      </c>
      <c r="P6" s="110">
        <v>5</v>
      </c>
      <c r="Q6" s="110">
        <v>6</v>
      </c>
      <c r="R6" s="110">
        <v>7</v>
      </c>
      <c r="S6" s="110">
        <v>8</v>
      </c>
      <c r="T6" s="110">
        <v>9</v>
      </c>
      <c r="U6" s="110">
        <v>10</v>
      </c>
      <c r="V6" s="15"/>
      <c r="W6" s="15"/>
    </row>
    <row r="7" spans="1:23"/>
    <row r="8" spans="1:23" s="7" customFormat="1" ht="14">
      <c r="A8" s="111"/>
      <c r="B8" s="8"/>
      <c r="C8" s="8"/>
      <c r="D8" s="115"/>
      <c r="E8" s="112" t="s">
        <v>144</v>
      </c>
      <c r="F8" s="113"/>
      <c r="G8" s="24"/>
      <c r="H8" s="24"/>
      <c r="I8" s="24"/>
      <c r="J8" s="24"/>
      <c r="K8" s="24"/>
      <c r="L8" s="26"/>
      <c r="M8" s="26"/>
      <c r="N8" s="26"/>
      <c r="O8" s="26"/>
      <c r="P8" s="26"/>
      <c r="Q8" s="26"/>
      <c r="R8" s="26"/>
      <c r="S8" s="26"/>
      <c r="T8" s="26"/>
      <c r="U8" s="26"/>
      <c r="V8" s="24"/>
      <c r="W8" s="24"/>
    </row>
    <row r="9" spans="1:23" s="3" customFormat="1">
      <c r="A9" s="15"/>
      <c r="B9" s="15"/>
      <c r="C9" s="15"/>
      <c r="D9" s="16"/>
      <c r="E9" s="15"/>
      <c r="F9" s="32"/>
      <c r="G9" s="15"/>
      <c r="H9" s="15"/>
      <c r="I9" s="15"/>
      <c r="J9" s="15"/>
      <c r="K9" s="15"/>
      <c r="L9" s="27"/>
      <c r="M9" s="27"/>
      <c r="N9" s="27"/>
      <c r="O9" s="27"/>
      <c r="P9" s="27"/>
      <c r="Q9" s="27"/>
      <c r="R9" s="27"/>
      <c r="S9" s="27"/>
      <c r="T9" s="27"/>
      <c r="U9" s="27"/>
      <c r="V9" s="15"/>
      <c r="W9" s="15"/>
    </row>
    <row r="10" spans="1:23" s="3" customFormat="1">
      <c r="A10" s="15"/>
      <c r="B10" s="15"/>
      <c r="C10" s="15"/>
      <c r="D10" s="16"/>
      <c r="E10" s="32" t="s">
        <v>145</v>
      </c>
      <c r="F10" s="32"/>
      <c r="G10" s="15"/>
      <c r="H10" s="15"/>
      <c r="I10" s="15"/>
      <c r="J10" s="15"/>
      <c r="K10" s="15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15"/>
      <c r="W10" s="15"/>
    </row>
    <row r="11" spans="1:23" s="3" customFormat="1" ht="13">
      <c r="A11" s="15"/>
      <c r="B11" s="15"/>
      <c r="C11" s="15"/>
      <c r="D11" s="16"/>
      <c r="E11" s="9" t="s">
        <v>146</v>
      </c>
      <c r="F11" s="32"/>
      <c r="G11" s="15"/>
      <c r="H11" s="15"/>
      <c r="I11" s="15"/>
      <c r="J11" s="15"/>
      <c r="K11" s="15"/>
      <c r="L11" s="15"/>
      <c r="M11" s="27"/>
      <c r="N11" s="27"/>
      <c r="O11" s="27"/>
      <c r="P11" s="27"/>
      <c r="Q11" s="27"/>
      <c r="R11" s="27"/>
      <c r="S11" s="27"/>
      <c r="T11" s="27"/>
      <c r="U11" s="27"/>
      <c r="V11" s="15"/>
      <c r="W11" s="15"/>
    </row>
    <row r="12" spans="1:23" s="3" customFormat="1">
      <c r="A12" s="15"/>
      <c r="B12" s="15"/>
      <c r="C12" s="15"/>
      <c r="D12" s="16" t="s">
        <v>88</v>
      </c>
      <c r="E12" s="17" t="s">
        <v>87</v>
      </c>
      <c r="F12" s="32"/>
      <c r="G12" s="15"/>
      <c r="H12" s="15"/>
      <c r="I12" s="15"/>
      <c r="J12" s="15"/>
      <c r="K12" s="27"/>
      <c r="L12" s="27">
        <f>K.Water</f>
        <v>0</v>
      </c>
      <c r="M12" s="27">
        <f>K.Water</f>
        <v>1.34</v>
      </c>
      <c r="N12" s="27">
        <f>K.Water</f>
        <v>1.05</v>
      </c>
      <c r="O12" s="27">
        <f>K.Water</f>
        <v>1.1900000000000002</v>
      </c>
      <c r="P12" s="27">
        <f>K.Water</f>
        <v>1.1599999999999999</v>
      </c>
      <c r="Q12" s="27"/>
      <c r="R12" s="27"/>
      <c r="S12" s="27"/>
      <c r="T12" s="27"/>
      <c r="U12" s="27"/>
      <c r="V12" s="15"/>
      <c r="W12" s="15"/>
    </row>
    <row r="13" spans="1:23" s="3" customFormat="1">
      <c r="A13" s="15"/>
      <c r="B13" s="15"/>
      <c r="C13" s="15"/>
      <c r="D13" s="16" t="s">
        <v>88</v>
      </c>
      <c r="E13" s="17" t="s">
        <v>147</v>
      </c>
      <c r="F13" s="32"/>
      <c r="G13" s="15"/>
      <c r="H13" s="15"/>
      <c r="I13" s="15"/>
      <c r="J13" s="15"/>
      <c r="K13" s="27"/>
      <c r="L13" s="27">
        <f>(Indexation.November.Actual.YearOnYear-1)*100</f>
        <v>1.983339944466489</v>
      </c>
      <c r="M13" s="27">
        <f>(Indexation.November.Actual.YearOnYear-1)*100</f>
        <v>1.0501750291715295</v>
      </c>
      <c r="N13" s="27">
        <f>(Indexation.November.Actual.YearOnYear-1)*100</f>
        <v>2.1939953810623525</v>
      </c>
      <c r="O13" s="27">
        <f>(Indexation.November.Actual.YearOnYear-1)*100</f>
        <v>3.8794726930320156</v>
      </c>
      <c r="P13" s="27">
        <f>(Indexation.November.Actual.YearOnYear-1)*100</f>
        <v>3.1907179115300943</v>
      </c>
      <c r="Q13" s="27"/>
      <c r="R13" s="27"/>
      <c r="S13" s="27"/>
      <c r="T13" s="27"/>
      <c r="U13" s="27"/>
      <c r="V13" s="15"/>
      <c r="W13" s="15"/>
    </row>
    <row r="14" spans="1:23" s="3" customFormat="1">
      <c r="A14" s="15"/>
      <c r="B14" s="15"/>
      <c r="C14" s="15"/>
      <c r="D14" s="16" t="s">
        <v>88</v>
      </c>
      <c r="E14" s="17" t="s">
        <v>148</v>
      </c>
      <c r="F14" s="32"/>
      <c r="G14" s="15"/>
      <c r="H14" s="15"/>
      <c r="I14" s="15"/>
      <c r="J14" s="15"/>
      <c r="K14" s="27"/>
      <c r="L14" s="27">
        <f>1+(L13+L12)/100</f>
        <v>1.0198333994446649</v>
      </c>
      <c r="M14" s="27">
        <f>1+(M13+M12)/100</f>
        <v>1.0239017502917154</v>
      </c>
      <c r="N14" s="27">
        <f t="shared" ref="N14:P14" si="2">1+(N13+N12)/100</f>
        <v>1.0324399538106235</v>
      </c>
      <c r="O14" s="27">
        <f t="shared" si="2"/>
        <v>1.0506947269303202</v>
      </c>
      <c r="P14" s="27">
        <f t="shared" si="2"/>
        <v>1.043507179115301</v>
      </c>
      <c r="Q14" s="27"/>
      <c r="R14" s="27"/>
      <c r="S14" s="27"/>
      <c r="T14" s="27"/>
      <c r="U14" s="27"/>
      <c r="V14" s="15"/>
      <c r="W14" s="15"/>
    </row>
    <row r="15" spans="1:23" s="3" customFormat="1" ht="13">
      <c r="A15" s="15"/>
      <c r="B15" s="15"/>
      <c r="C15" s="15"/>
      <c r="D15" s="16" t="s">
        <v>81</v>
      </c>
      <c r="E15" s="17" t="s">
        <v>149</v>
      </c>
      <c r="F15" s="32" t="s">
        <v>96</v>
      </c>
      <c r="G15" s="15"/>
      <c r="H15" s="15"/>
      <c r="I15" s="15"/>
      <c r="J15" s="15"/>
      <c r="K15" s="27">
        <f>AllRev.Water</f>
        <v>434.346</v>
      </c>
      <c r="L15" s="27">
        <f>K15*L14</f>
        <v>442.96055771519241</v>
      </c>
      <c r="M15" s="27">
        <f>L15*M14</f>
        <v>453.5480903547799</v>
      </c>
      <c r="N15" s="27">
        <f t="shared" ref="N15:P15" si="3">M15*N14</f>
        <v>468.26116945678547</v>
      </c>
      <c r="O15" s="27">
        <f t="shared" si="3"/>
        <v>491.99954157446962</v>
      </c>
      <c r="P15" s="27">
        <f t="shared" si="3"/>
        <v>513.40505375439602</v>
      </c>
      <c r="Q15" s="27"/>
      <c r="R15" s="27"/>
      <c r="S15" s="27"/>
      <c r="T15" s="27"/>
      <c r="U15" s="27"/>
      <c r="V15" s="12" t="s">
        <v>150</v>
      </c>
      <c r="W15" s="15"/>
    </row>
    <row r="16" spans="1:23" s="3" customFormat="1">
      <c r="A16" s="15"/>
      <c r="B16" s="15"/>
      <c r="C16" s="15"/>
      <c r="D16" s="16"/>
      <c r="E16" s="15"/>
      <c r="F16" s="32"/>
      <c r="G16" s="15"/>
      <c r="H16" s="15"/>
      <c r="I16" s="15"/>
      <c r="J16" s="15"/>
      <c r="K16" s="15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15"/>
      <c r="W16" s="15"/>
    </row>
    <row r="17" spans="1:23" s="3" customFormat="1">
      <c r="A17" s="15"/>
      <c r="B17" s="15"/>
      <c r="C17" s="15"/>
      <c r="D17" s="16"/>
      <c r="E17" s="32" t="s">
        <v>151</v>
      </c>
      <c r="F17" s="32"/>
      <c r="G17" s="15"/>
      <c r="H17" s="15"/>
      <c r="I17" s="15"/>
      <c r="J17" s="15"/>
      <c r="K17" s="15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15"/>
      <c r="W17" s="15"/>
    </row>
    <row r="18" spans="1:23" s="3" customFormat="1" ht="13">
      <c r="A18" s="15"/>
      <c r="B18" s="15"/>
      <c r="C18" s="15"/>
      <c r="D18" s="16"/>
      <c r="E18" s="9" t="s">
        <v>152</v>
      </c>
      <c r="F18" s="32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27"/>
      <c r="T18" s="27"/>
      <c r="U18" s="27"/>
      <c r="V18" s="15"/>
      <c r="W18" s="15"/>
    </row>
    <row r="19" spans="1:23" s="3" customFormat="1" ht="13">
      <c r="A19" s="15"/>
      <c r="B19" s="15"/>
      <c r="C19" s="15"/>
      <c r="D19" s="16" t="s">
        <v>81</v>
      </c>
      <c r="E19" s="17" t="s">
        <v>153</v>
      </c>
      <c r="F19" s="32" t="s">
        <v>103</v>
      </c>
      <c r="G19" s="15"/>
      <c r="H19" s="15"/>
      <c r="I19" s="15"/>
      <c r="J19" s="15"/>
      <c r="K19" s="27">
        <f>BlindYear.1415.Adj.Water</f>
        <v>-0.77229218894321505</v>
      </c>
      <c r="L19" s="12" t="s">
        <v>154</v>
      </c>
      <c r="M19" s="15"/>
      <c r="N19" s="15"/>
      <c r="O19" s="15"/>
      <c r="P19" s="15"/>
      <c r="Q19" s="15"/>
      <c r="R19" s="15"/>
      <c r="S19" s="27"/>
      <c r="T19" s="27"/>
      <c r="U19" s="27"/>
      <c r="V19" s="15"/>
      <c r="W19" s="15"/>
    </row>
    <row r="20" spans="1:23" s="3" customFormat="1">
      <c r="A20" s="15"/>
      <c r="B20" s="15"/>
      <c r="C20" s="15"/>
      <c r="D20" s="16" t="s">
        <v>81</v>
      </c>
      <c r="E20" s="17" t="s">
        <v>155</v>
      </c>
      <c r="F20" s="32" t="s">
        <v>103</v>
      </c>
      <c r="G20" s="15"/>
      <c r="H20" s="15"/>
      <c r="I20" s="15"/>
      <c r="J20" s="15"/>
      <c r="K20" s="27">
        <f>AMP5.RCM.Adj.Water</f>
        <v>-0.77229218894321505</v>
      </c>
      <c r="L20" s="27">
        <f>K20*(1+Discount.Rate)</f>
        <v>-0.80009470774517077</v>
      </c>
      <c r="M20" s="27">
        <f>L20*(1+Discount.Rate)</f>
        <v>-0.82889811722399698</v>
      </c>
      <c r="N20" s="27">
        <f>M20*(1+Discount.Rate)</f>
        <v>-0.85873844944406086</v>
      </c>
      <c r="O20" s="27">
        <f>N20*(1+Discount.Rate)</f>
        <v>-0.88965303362404713</v>
      </c>
      <c r="P20" s="27">
        <f>O20*(1+Discount.Rate)</f>
        <v>-0.92168054283451284</v>
      </c>
      <c r="Q20" s="15"/>
      <c r="R20" s="15"/>
      <c r="S20" s="27"/>
      <c r="T20" s="27"/>
      <c r="U20" s="27"/>
      <c r="V20" s="15"/>
      <c r="W20" s="15"/>
    </row>
    <row r="21" spans="1:23" s="3" customFormat="1">
      <c r="A21" s="15"/>
      <c r="B21" s="15"/>
      <c r="C21" s="15"/>
      <c r="D21" s="16" t="s">
        <v>135</v>
      </c>
      <c r="E21" s="17" t="str">
        <f>Data!E44</f>
        <v>Percentage of blind year adjustment by year - water</v>
      </c>
      <c r="F21" s="32" t="s">
        <v>156</v>
      </c>
      <c r="G21" s="15"/>
      <c r="H21" s="15"/>
      <c r="I21" s="15"/>
      <c r="J21" s="15"/>
      <c r="K21" s="23"/>
      <c r="L21" s="23"/>
      <c r="M21" s="23"/>
      <c r="N21" s="122">
        <f>Data!N44</f>
        <v>1</v>
      </c>
      <c r="O21" s="122">
        <f>Data!O44</f>
        <v>0</v>
      </c>
      <c r="P21" s="122">
        <f>Data!P44</f>
        <v>0</v>
      </c>
      <c r="Q21" s="15"/>
      <c r="R21" s="15"/>
      <c r="S21" s="27"/>
      <c r="T21" s="27"/>
      <c r="U21" s="27"/>
      <c r="V21" s="15"/>
      <c r="W21" s="15"/>
    </row>
    <row r="22" spans="1:23" s="3" customFormat="1">
      <c r="A22" s="15"/>
      <c r="B22" s="15"/>
      <c r="C22" s="15"/>
      <c r="D22" s="16" t="s">
        <v>81</v>
      </c>
      <c r="E22" s="17" t="s">
        <v>157</v>
      </c>
      <c r="F22" s="32" t="s">
        <v>103</v>
      </c>
      <c r="G22" s="15"/>
      <c r="H22" s="15"/>
      <c r="I22" s="15"/>
      <c r="J22" s="15"/>
      <c r="K22" s="23"/>
      <c r="L22" s="23"/>
      <c r="M22" s="23"/>
      <c r="N22" s="27">
        <f>N20*N21</f>
        <v>-0.85873844944406086</v>
      </c>
      <c r="O22" s="27">
        <f t="shared" ref="O22:P22" si="4">O20*O21</f>
        <v>0</v>
      </c>
      <c r="P22" s="27">
        <f t="shared" si="4"/>
        <v>0</v>
      </c>
      <c r="Q22" s="27"/>
      <c r="R22" s="27"/>
      <c r="S22" s="27"/>
      <c r="T22" s="27"/>
      <c r="U22" s="27"/>
      <c r="V22" s="15"/>
      <c r="W22" s="15"/>
    </row>
    <row r="23" spans="1:23" s="3" customFormat="1" ht="13">
      <c r="A23" s="15"/>
      <c r="B23" s="15"/>
      <c r="C23" s="15"/>
      <c r="D23" s="16" t="s">
        <v>81</v>
      </c>
      <c r="E23" s="17" t="s">
        <v>158</v>
      </c>
      <c r="F23" s="32" t="s">
        <v>96</v>
      </c>
      <c r="G23" s="15"/>
      <c r="H23" s="15"/>
      <c r="I23" s="15"/>
      <c r="J23" s="15"/>
      <c r="K23" s="23"/>
      <c r="L23" s="95"/>
      <c r="M23" s="23"/>
      <c r="N23" s="27">
        <f>N22*Indexation.November.Actual</f>
        <v>-0.95595412296603</v>
      </c>
      <c r="O23" s="27">
        <f t="shared" ref="O23:P23" si="5">O22*Indexation.November.Actual</f>
        <v>0</v>
      </c>
      <c r="P23" s="27">
        <f t="shared" si="5"/>
        <v>0</v>
      </c>
      <c r="Q23" s="27"/>
      <c r="R23" s="27"/>
      <c r="S23" s="27"/>
      <c r="T23" s="27"/>
      <c r="U23" s="27"/>
      <c r="V23" s="12" t="s">
        <v>159</v>
      </c>
      <c r="W23" s="15"/>
    </row>
    <row r="24" spans="1:23" s="3" customFormat="1" ht="13">
      <c r="A24" s="15"/>
      <c r="B24" s="15"/>
      <c r="C24" s="15"/>
      <c r="D24" s="16"/>
      <c r="E24" s="17"/>
      <c r="F24" s="32"/>
      <c r="G24" s="15"/>
      <c r="H24" s="15"/>
      <c r="I24" s="15"/>
      <c r="J24" s="15"/>
      <c r="K24" s="15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12"/>
      <c r="W24" s="15"/>
    </row>
    <row r="25" spans="1:23" s="3" customFormat="1" ht="13">
      <c r="A25" s="15"/>
      <c r="B25" s="15"/>
      <c r="C25" s="15"/>
      <c r="D25" s="16" t="s">
        <v>135</v>
      </c>
      <c r="E25" s="135" t="s">
        <v>249</v>
      </c>
      <c r="F25" s="32" t="s">
        <v>156</v>
      </c>
      <c r="G25" s="15"/>
      <c r="H25" s="15"/>
      <c r="I25" s="15"/>
      <c r="J25" s="15"/>
      <c r="K25" s="23"/>
      <c r="L25" s="95"/>
      <c r="M25" s="23"/>
      <c r="N25" s="23"/>
      <c r="O25" s="23"/>
      <c r="P25" s="137">
        <f xml:space="preserve"> 1 - SUM(N21:P21)</f>
        <v>0</v>
      </c>
      <c r="Q25" s="27"/>
      <c r="R25" s="27"/>
      <c r="S25" s="27"/>
      <c r="T25" s="27"/>
      <c r="U25" s="27"/>
      <c r="V25" s="12"/>
      <c r="W25" s="15"/>
    </row>
    <row r="26" spans="1:23" s="3" customFormat="1" ht="13">
      <c r="A26" s="15"/>
      <c r="B26" s="15"/>
      <c r="C26" s="15"/>
      <c r="D26" s="16" t="s">
        <v>81</v>
      </c>
      <c r="E26" s="135" t="s">
        <v>246</v>
      </c>
      <c r="F26" s="32" t="s">
        <v>103</v>
      </c>
      <c r="G26" s="15"/>
      <c r="H26" s="15"/>
      <c r="I26" s="15"/>
      <c r="J26" s="15"/>
      <c r="K26" s="23"/>
      <c r="L26" s="95"/>
      <c r="M26" s="23"/>
      <c r="N26" s="23"/>
      <c r="O26" s="23"/>
      <c r="P26" s="136">
        <f xml:space="preserve"> P20*(1+Discount.Rate)</f>
        <v>-0.95486104237655534</v>
      </c>
      <c r="Q26" s="27"/>
      <c r="R26" s="27"/>
      <c r="S26" s="27"/>
      <c r="T26" s="27"/>
      <c r="U26" s="27"/>
      <c r="V26" s="12"/>
      <c r="W26" s="15"/>
    </row>
    <row r="27" spans="1:23" s="3" customFormat="1" ht="13">
      <c r="A27" s="15"/>
      <c r="B27" s="15"/>
      <c r="C27" s="15"/>
      <c r="D27" s="16" t="s">
        <v>81</v>
      </c>
      <c r="E27" s="135" t="s">
        <v>247</v>
      </c>
      <c r="F27" s="32" t="s">
        <v>103</v>
      </c>
      <c r="G27" s="15"/>
      <c r="H27" s="15"/>
      <c r="I27" s="15"/>
      <c r="J27" s="15"/>
      <c r="K27" s="23"/>
      <c r="L27" s="95"/>
      <c r="M27" s="23"/>
      <c r="N27" s="23"/>
      <c r="O27" s="23"/>
      <c r="P27" s="136">
        <f xml:space="preserve"> P25 * P26</f>
        <v>0</v>
      </c>
      <c r="Q27" s="27"/>
      <c r="R27" s="27"/>
      <c r="S27" s="27"/>
      <c r="T27" s="27"/>
      <c r="U27" s="27"/>
      <c r="V27" s="12"/>
      <c r="W27" s="15"/>
    </row>
    <row r="28" spans="1:23" s="3" customFormat="1" ht="13">
      <c r="A28" s="15"/>
      <c r="B28" s="15"/>
      <c r="C28" s="15"/>
      <c r="D28" s="16" t="s">
        <v>81</v>
      </c>
      <c r="E28" s="135" t="s">
        <v>248</v>
      </c>
      <c r="F28" s="32" t="s">
        <v>96</v>
      </c>
      <c r="G28" s="15"/>
      <c r="H28" s="15"/>
      <c r="I28" s="15"/>
      <c r="J28" s="15"/>
      <c r="K28" s="23"/>
      <c r="L28" s="95"/>
      <c r="M28" s="23"/>
      <c r="N28" s="23"/>
      <c r="O28" s="23"/>
      <c r="P28" s="136">
        <f>P27*Indexation.November.Actual</f>
        <v>0</v>
      </c>
      <c r="Q28" s="27"/>
      <c r="R28" s="27"/>
      <c r="S28" s="27"/>
      <c r="T28" s="27"/>
      <c r="U28" s="27"/>
      <c r="V28" s="12"/>
      <c r="W28" s="15"/>
    </row>
    <row r="29" spans="1:23" s="3" customFormat="1">
      <c r="A29" s="15"/>
      <c r="B29" s="15"/>
      <c r="C29" s="15"/>
      <c r="D29" s="16"/>
      <c r="E29" s="15"/>
      <c r="F29" s="32"/>
      <c r="G29" s="15"/>
      <c r="H29" s="15"/>
      <c r="I29" s="15"/>
      <c r="J29" s="15"/>
      <c r="K29" s="15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15"/>
      <c r="W29" s="15"/>
    </row>
    <row r="30" spans="1:23" s="3" customFormat="1">
      <c r="A30" s="15"/>
      <c r="B30" s="15"/>
      <c r="C30" s="15"/>
      <c r="D30" s="16"/>
      <c r="E30" s="32" t="s">
        <v>160</v>
      </c>
      <c r="F30" s="32"/>
      <c r="G30" s="15"/>
      <c r="H30" s="15"/>
      <c r="I30" s="15"/>
      <c r="J30" s="15"/>
      <c r="K30" s="15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15"/>
      <c r="W30" s="15"/>
    </row>
    <row r="31" spans="1:23" s="3" customFormat="1" ht="13">
      <c r="A31" s="15"/>
      <c r="B31" s="15"/>
      <c r="C31" s="15"/>
      <c r="D31" s="16"/>
      <c r="E31" s="9" t="s">
        <v>161</v>
      </c>
      <c r="F31" s="32"/>
      <c r="G31" s="15"/>
      <c r="H31" s="15"/>
      <c r="I31" s="15"/>
      <c r="J31" s="15"/>
      <c r="K31" s="15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15"/>
      <c r="W31" s="15"/>
    </row>
    <row r="32" spans="1:23" s="3" customFormat="1" ht="13">
      <c r="A32" s="15"/>
      <c r="B32" s="15"/>
      <c r="C32" s="15"/>
      <c r="D32" s="16" t="s">
        <v>81</v>
      </c>
      <c r="E32" s="17" t="s">
        <v>162</v>
      </c>
      <c r="F32" s="32" t="s">
        <v>96</v>
      </c>
      <c r="G32" s="15"/>
      <c r="H32" s="15"/>
      <c r="I32" s="15"/>
      <c r="J32" s="15"/>
      <c r="K32" s="15"/>
      <c r="L32" s="27">
        <f>J48+J58</f>
        <v>0</v>
      </c>
      <c r="M32" s="27">
        <f t="shared" ref="M32:P32" si="6">K48+K58</f>
        <v>0</v>
      </c>
      <c r="N32" s="27">
        <f t="shared" si="6"/>
        <v>-1.8430740716678524</v>
      </c>
      <c r="O32" s="27">
        <f t="shared" si="6"/>
        <v>-9.2091528580525157</v>
      </c>
      <c r="P32" s="27">
        <f t="shared" si="6"/>
        <v>-13.012212309245301</v>
      </c>
      <c r="Q32" s="27"/>
      <c r="R32" s="27"/>
      <c r="S32" s="18"/>
      <c r="T32" s="18"/>
      <c r="U32" s="18"/>
      <c r="V32" s="12" t="s">
        <v>163</v>
      </c>
      <c r="W32" s="15"/>
    </row>
    <row r="33" spans="1:23" s="3" customFormat="1" ht="13">
      <c r="A33" s="15"/>
      <c r="B33" s="15"/>
      <c r="C33" s="15"/>
      <c r="D33" s="17" t="str">
        <f>Data!D12</f>
        <v>True/False</v>
      </c>
      <c r="E33" s="17" t="str">
        <f>Data!E12</f>
        <v>Company has accepted WRFIM licence modification</v>
      </c>
      <c r="F33" s="17"/>
      <c r="G33" s="17" t="b">
        <f>Data!G12</f>
        <v>1</v>
      </c>
      <c r="H33" s="17" t="str">
        <f>Data!H12</f>
        <v>True/False</v>
      </c>
      <c r="I33" s="17"/>
      <c r="J33" s="17"/>
      <c r="K33" s="17"/>
      <c r="L33" s="27"/>
      <c r="M33" s="27"/>
      <c r="N33" s="27"/>
      <c r="O33" s="27"/>
      <c r="P33" s="27"/>
      <c r="Q33" s="27"/>
      <c r="R33" s="27"/>
      <c r="S33" s="18"/>
      <c r="T33" s="18"/>
      <c r="U33" s="18"/>
      <c r="V33" s="12"/>
      <c r="W33" s="15"/>
    </row>
    <row r="34" spans="1:23" s="3" customFormat="1" ht="13">
      <c r="A34" s="15"/>
      <c r="B34" s="15"/>
      <c r="C34" s="15"/>
      <c r="D34" s="16" t="s">
        <v>81</v>
      </c>
      <c r="E34" s="17" t="str">
        <f>Data!E50</f>
        <v>Over-recovered 17/18 revenue returned - water</v>
      </c>
      <c r="F34" s="32" t="s">
        <v>96</v>
      </c>
      <c r="G34" s="17"/>
      <c r="H34" s="17"/>
      <c r="I34" s="17"/>
      <c r="J34" s="17"/>
      <c r="K34" s="17"/>
      <c r="L34" s="27"/>
      <c r="M34" s="27"/>
      <c r="N34" s="27"/>
      <c r="O34" s="130">
        <f>(0 - Data!O50)</f>
        <v>-6</v>
      </c>
      <c r="P34" s="27"/>
      <c r="Q34" s="27"/>
      <c r="R34" s="27"/>
      <c r="S34" s="18"/>
      <c r="T34" s="18"/>
      <c r="U34" s="18"/>
      <c r="V34" s="12"/>
      <c r="W34" s="15"/>
    </row>
    <row r="35" spans="1:23" s="3" customFormat="1" ht="13">
      <c r="A35" s="15"/>
      <c r="B35" s="15"/>
      <c r="C35" s="15"/>
      <c r="D35" s="16" t="s">
        <v>81</v>
      </c>
      <c r="E35" s="17" t="s">
        <v>243</v>
      </c>
      <c r="F35" s="32" t="s">
        <v>96</v>
      </c>
      <c r="G35" s="17"/>
      <c r="H35" s="17"/>
      <c r="I35" s="17"/>
      <c r="J35" s="17"/>
      <c r="K35" s="17"/>
      <c r="L35" s="27"/>
      <c r="M35" s="27"/>
      <c r="N35" s="27"/>
      <c r="O35" s="27"/>
      <c r="P35" s="130">
        <f>(0-O34*(1+Discount.Rate))*(INDEX(Indexation.November.Actual.YearOnYear,,MATCH(P$5,Calendar.Years,0)))</f>
        <v>6.4143350253807112</v>
      </c>
      <c r="Q35" s="27"/>
      <c r="R35" s="27"/>
      <c r="S35" s="18"/>
      <c r="T35" s="18"/>
      <c r="U35" s="18"/>
      <c r="V35" s="12"/>
      <c r="W35" s="15"/>
    </row>
    <row r="36" spans="1:23" s="3" customFormat="1" ht="13">
      <c r="A36" s="15"/>
      <c r="B36" s="15"/>
      <c r="C36" s="15"/>
      <c r="D36" s="16" t="s">
        <v>81</v>
      </c>
      <c r="E36" s="17" t="str">
        <f>Data!E53</f>
        <v>Over-recovered 18/19 revenue returned - water</v>
      </c>
      <c r="F36" s="32" t="s">
        <v>96</v>
      </c>
      <c r="G36" s="17"/>
      <c r="H36" s="17"/>
      <c r="I36" s="17"/>
      <c r="J36" s="17"/>
      <c r="K36" s="17"/>
      <c r="L36" s="27"/>
      <c r="M36" s="27"/>
      <c r="N36" s="27"/>
      <c r="O36" s="27"/>
      <c r="P36" s="130">
        <f>(0 - Data!P53)</f>
        <v>0</v>
      </c>
      <c r="Q36" s="27"/>
      <c r="R36" s="27"/>
      <c r="S36" s="18"/>
      <c r="T36" s="18"/>
      <c r="U36" s="18"/>
      <c r="V36" s="12"/>
      <c r="W36" s="15"/>
    </row>
    <row r="37" spans="1:23" ht="13">
      <c r="A37" s="15"/>
      <c r="B37" s="15"/>
      <c r="C37" s="15"/>
      <c r="D37" s="16" t="s">
        <v>81</v>
      </c>
      <c r="E37" s="17" t="s">
        <v>164</v>
      </c>
      <c r="F37" s="32" t="s">
        <v>96</v>
      </c>
      <c r="L37" s="27">
        <f>L15</f>
        <v>442.96055771519241</v>
      </c>
      <c r="M37" s="27">
        <f>M15</f>
        <v>453.5480903547799</v>
      </c>
      <c r="N37" s="27">
        <f>N15</f>
        <v>468.26116945678547</v>
      </c>
      <c r="O37" s="27">
        <f>O15</f>
        <v>491.99954157446962</v>
      </c>
      <c r="P37" s="27">
        <f>P15</f>
        <v>513.40505375439602</v>
      </c>
      <c r="Q37" s="27"/>
      <c r="R37" s="27"/>
      <c r="S37" s="27"/>
      <c r="T37" s="27"/>
      <c r="U37" s="27"/>
      <c r="V37" s="12"/>
      <c r="W37" s="15"/>
    </row>
    <row r="38" spans="1:23" s="3" customFormat="1" ht="13">
      <c r="A38" s="15"/>
      <c r="B38" s="15"/>
      <c r="C38" s="15"/>
      <c r="D38" s="16" t="s">
        <v>81</v>
      </c>
      <c r="E38" s="17" t="s">
        <v>165</v>
      </c>
      <c r="F38" s="32" t="s">
        <v>96</v>
      </c>
      <c r="G38" s="15"/>
      <c r="H38" s="15"/>
      <c r="I38" s="15"/>
      <c r="J38" s="15"/>
      <c r="K38" s="15"/>
      <c r="L38" s="130">
        <f>AllRev.Outturn.Water+RCM.BlindYear.Adj.Water+AMP6.FI.Adj.Water+L34+L35+L36</f>
        <v>442.96055771519241</v>
      </c>
      <c r="M38" s="130">
        <f>AllRev.Outturn.Water+RCM.BlindYear.Adj.Water+AMP6.FI.Adj.Water+M34+M35+M36</f>
        <v>453.5480903547799</v>
      </c>
      <c r="N38" s="130">
        <f>AllRev.Outturn.Water+RCM.BlindYear.Adj.Water+AMP6.FI.Adj.Water+N34+N35+N36</f>
        <v>465.46214126215159</v>
      </c>
      <c r="O38" s="130">
        <f>AllRev.Outturn.Water+RCM.BlindYear.Adj.Water+AMP6.FI.Adj.Water+O34+O35+O36</f>
        <v>476.79038871641711</v>
      </c>
      <c r="P38" s="130">
        <f>AllRev.Outturn.Water+RCM.BlindYear.Adj.Water+AMP6.FI.Adj.Water+P34+P35+P36</f>
        <v>506.80717647053143</v>
      </c>
      <c r="Q38" s="27"/>
      <c r="R38" s="27"/>
      <c r="S38" s="27"/>
      <c r="T38" s="27"/>
      <c r="U38" s="27"/>
      <c r="V38" s="12" t="s">
        <v>166</v>
      </c>
      <c r="W38" s="15"/>
    </row>
    <row r="39" spans="1:23" ht="13">
      <c r="A39" s="15"/>
      <c r="B39" s="15"/>
      <c r="C39" s="15"/>
      <c r="D39" s="16" t="s">
        <v>81</v>
      </c>
      <c r="E39" s="17" t="s">
        <v>167</v>
      </c>
      <c r="F39" s="32" t="s">
        <v>96</v>
      </c>
      <c r="L39" s="27">
        <f>IF($G33=TRUE,L38,MIN(L37:L38))</f>
        <v>442.96055771519241</v>
      </c>
      <c r="M39" s="27">
        <f>IF($G33=TRUE,M38,MIN(M37:M38))</f>
        <v>453.5480903547799</v>
      </c>
      <c r="N39" s="27">
        <f>IF($G33=TRUE,N38,MIN(N37:N38))</f>
        <v>465.46214126215159</v>
      </c>
      <c r="O39" s="27">
        <f>IF($G33=TRUE,O38,MIN(O37:O38))</f>
        <v>476.79038871641711</v>
      </c>
      <c r="P39" s="27">
        <f>IF($G33=TRUE,P38,MIN(P37:P38))</f>
        <v>506.80717647053143</v>
      </c>
      <c r="Q39" s="27"/>
      <c r="R39" s="27"/>
      <c r="S39" s="27"/>
      <c r="T39" s="27"/>
      <c r="U39" s="27"/>
      <c r="V39" s="12" t="s">
        <v>168</v>
      </c>
      <c r="W39" s="15"/>
    </row>
    <row r="40" spans="1:23" s="3" customFormat="1">
      <c r="A40" s="15"/>
      <c r="B40" s="15"/>
      <c r="C40" s="15"/>
      <c r="D40" s="16"/>
      <c r="E40" s="17"/>
      <c r="F40" s="32"/>
      <c r="G40" s="15"/>
      <c r="H40" s="15"/>
      <c r="I40" s="15"/>
      <c r="J40" s="15"/>
      <c r="K40" s="15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15"/>
      <c r="W40" s="15"/>
    </row>
    <row r="41" spans="1:23" s="3" customFormat="1">
      <c r="A41" s="15"/>
      <c r="B41" s="15"/>
      <c r="C41" s="15"/>
      <c r="D41" s="16" t="s">
        <v>81</v>
      </c>
      <c r="E41" s="17" t="s">
        <v>169</v>
      </c>
      <c r="F41" s="32" t="s">
        <v>96</v>
      </c>
      <c r="G41" s="15"/>
      <c r="H41" s="15"/>
      <c r="I41" s="15"/>
      <c r="J41" s="15"/>
      <c r="K41" s="15"/>
      <c r="L41" s="27">
        <f t="shared" ref="L41:P41" si="7">RecRev.Water</f>
        <v>444.62343740880692</v>
      </c>
      <c r="M41" s="27">
        <f t="shared" si="7"/>
        <v>461.63057811751656</v>
      </c>
      <c r="N41" s="27">
        <f t="shared" si="7"/>
        <v>476.64200000000005</v>
      </c>
      <c r="O41" s="27">
        <f t="shared" si="7"/>
        <v>486.23700000000002</v>
      </c>
      <c r="P41" s="27">
        <f t="shared" si="7"/>
        <v>506.87200000000001</v>
      </c>
      <c r="Q41" s="27"/>
      <c r="R41" s="27"/>
      <c r="S41" s="18"/>
      <c r="T41" s="18"/>
      <c r="U41" s="18"/>
      <c r="V41" s="15"/>
      <c r="W41" s="15"/>
    </row>
    <row r="42" spans="1:23" s="3" customFormat="1">
      <c r="A42" s="15"/>
      <c r="B42" s="15"/>
      <c r="C42" s="15"/>
      <c r="D42" s="16"/>
      <c r="E42" s="17"/>
      <c r="F42" s="32"/>
      <c r="G42" s="15"/>
      <c r="H42" s="15"/>
      <c r="I42" s="15"/>
      <c r="J42" s="15"/>
      <c r="K42" s="15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15"/>
      <c r="W42" s="15"/>
    </row>
    <row r="43" spans="1:23" s="3" customFormat="1">
      <c r="A43" s="15"/>
      <c r="B43" s="15"/>
      <c r="C43" s="15"/>
      <c r="D43" s="16" t="s">
        <v>81</v>
      </c>
      <c r="E43" s="17" t="s">
        <v>170</v>
      </c>
      <c r="F43" s="32" t="s">
        <v>96</v>
      </c>
      <c r="G43" s="15"/>
      <c r="H43" s="15"/>
      <c r="I43" s="15"/>
      <c r="J43" s="15"/>
      <c r="K43" s="15"/>
      <c r="L43" s="27">
        <f t="shared" ref="L43:M43" si="8">L41-L38</f>
        <v>1.6628796936145136</v>
      </c>
      <c r="M43" s="27">
        <f t="shared" si="8"/>
        <v>8.0824877627366618</v>
      </c>
      <c r="N43" s="27">
        <f>N41-N38</f>
        <v>11.179858737848463</v>
      </c>
      <c r="O43" s="27">
        <f t="shared" ref="O43:P43" si="9">O41-O38</f>
        <v>9.4466112835829108</v>
      </c>
      <c r="P43" s="27">
        <f t="shared" si="9"/>
        <v>6.4823529468583274E-2</v>
      </c>
      <c r="Q43" s="27"/>
      <c r="R43" s="27"/>
      <c r="S43" s="27"/>
      <c r="T43" s="27"/>
      <c r="U43" s="27"/>
      <c r="V43" s="15"/>
      <c r="W43" s="15"/>
    </row>
    <row r="44" spans="1:23" s="3" customFormat="1" ht="13">
      <c r="A44" s="15"/>
      <c r="B44" s="15"/>
      <c r="C44" s="15"/>
      <c r="D44" s="16" t="s">
        <v>68</v>
      </c>
      <c r="E44" s="17" t="s">
        <v>171</v>
      </c>
      <c r="F44" s="32"/>
      <c r="G44" s="15"/>
      <c r="H44" s="15"/>
      <c r="I44" s="15"/>
      <c r="J44" s="15"/>
      <c r="K44" s="15"/>
      <c r="L44" s="117">
        <f>IF(L38=0,0,L43/L38)</f>
        <v>3.7540130033060079E-3</v>
      </c>
      <c r="M44" s="117">
        <f t="shared" ref="M44:P44" si="10">IF(M38=0,0,M43/M38)</f>
        <v>1.7820575005429478E-2</v>
      </c>
      <c r="N44" s="117">
        <f t="shared" si="10"/>
        <v>2.4018835790883122E-2</v>
      </c>
      <c r="O44" s="117">
        <f t="shared" si="10"/>
        <v>1.9812923052023847E-2</v>
      </c>
      <c r="P44" s="117">
        <f t="shared" si="10"/>
        <v>1.2790570551905449E-4</v>
      </c>
      <c r="Q44" s="27"/>
      <c r="R44" s="27"/>
      <c r="S44" s="27"/>
      <c r="T44" s="27"/>
      <c r="U44" s="27"/>
      <c r="V44" s="12" t="s">
        <v>172</v>
      </c>
      <c r="W44" s="15"/>
    </row>
    <row r="45" spans="1:23" ht="13">
      <c r="A45" s="15"/>
      <c r="B45" s="15"/>
      <c r="C45" s="15"/>
      <c r="D45" s="16"/>
      <c r="E45" s="17"/>
      <c r="K45" s="15"/>
      <c r="L45" s="117"/>
      <c r="M45" s="117"/>
      <c r="N45" s="117"/>
      <c r="O45" s="117"/>
      <c r="P45" s="117"/>
      <c r="Q45" s="27"/>
      <c r="R45" s="27"/>
      <c r="S45" s="27"/>
      <c r="T45" s="27"/>
      <c r="U45" s="27"/>
      <c r="V45" s="12"/>
    </row>
    <row r="46" spans="1:23" ht="13">
      <c r="A46" s="15"/>
      <c r="B46" s="15"/>
      <c r="C46" s="15"/>
      <c r="D46" s="16"/>
      <c r="E46" s="28" t="s">
        <v>173</v>
      </c>
      <c r="K46" s="15"/>
      <c r="L46" s="117"/>
      <c r="M46" s="117"/>
      <c r="N46" s="117"/>
      <c r="O46" s="117"/>
      <c r="P46" s="117"/>
      <c r="Q46" s="27"/>
      <c r="R46" s="27"/>
      <c r="S46" s="27"/>
      <c r="T46" s="27"/>
      <c r="U46" s="27"/>
      <c r="V46" s="12"/>
    </row>
    <row r="47" spans="1:23" ht="13">
      <c r="A47" s="15"/>
      <c r="B47" s="15"/>
      <c r="C47" s="15"/>
      <c r="D47" s="16" t="s">
        <v>81</v>
      </c>
      <c r="E47" s="17" t="s">
        <v>174</v>
      </c>
      <c r="F47" s="32" t="s">
        <v>96</v>
      </c>
      <c r="J47" s="23">
        <v>0</v>
      </c>
      <c r="K47" s="23">
        <v>0</v>
      </c>
      <c r="L47" s="27">
        <f>0-L43*(1+Discount.Rate)*(1+Discount.Rate)</f>
        <v>-1.7847621236376832</v>
      </c>
      <c r="M47" s="27">
        <f>0-M43*(1+Discount.Rate)*(1+Discount.Rate)</f>
        <v>-8.6749017857942103</v>
      </c>
      <c r="N47" s="27">
        <f>0-N43*(1+Discount.Rate)*(1+Discount.Rate)</f>
        <v>-11.999297663897805</v>
      </c>
      <c r="O47" s="23"/>
      <c r="P47" s="23"/>
      <c r="Q47" s="27"/>
      <c r="R47" s="27"/>
      <c r="S47" s="27"/>
      <c r="T47" s="27"/>
      <c r="U47" s="27"/>
      <c r="V47" s="12"/>
    </row>
    <row r="48" spans="1:23" ht="13">
      <c r="A48" s="15"/>
      <c r="B48" s="15"/>
      <c r="C48" s="15"/>
      <c r="D48" s="16" t="s">
        <v>81</v>
      </c>
      <c r="E48" s="17" t="s">
        <v>175</v>
      </c>
      <c r="F48" s="32" t="s">
        <v>176</v>
      </c>
      <c r="J48" s="95">
        <v>0</v>
      </c>
      <c r="K48" s="23">
        <v>0</v>
      </c>
      <c r="L48" s="27">
        <f>L47*INDEX(Indexation.November.Actual.YearOnYear,,MATCH(M$5,Calendar.Years,0))*(INDEX(Indexation.November.Actual.YearOnYear,,MATCH(N$5,Calendar.Years,0)))</f>
        <v>-1.8430740716678524</v>
      </c>
      <c r="M48" s="27">
        <f>M47*INDEX(Indexation.November.Actual.YearOnYear,,MATCH(N$5,Calendar.Years,0))*(INDEX(Indexation.November.Actual.YearOnYear,,MATCH(O$5,Calendar.Years,0)))</f>
        <v>-9.2091528580525157</v>
      </c>
      <c r="N48" s="27">
        <f>N47*INDEX(Indexation.November.Actual.YearOnYear,,MATCH(O$5,Calendar.Years,0))*(INDEX(Indexation.November.Actual.YearOnYear,,MATCH(P$5,Calendar.Years,0)))</f>
        <v>-12.862523974181977</v>
      </c>
      <c r="O48" s="23"/>
      <c r="P48" s="23"/>
      <c r="Q48" s="27"/>
      <c r="R48" s="27"/>
      <c r="S48" s="27"/>
      <c r="T48" s="27"/>
      <c r="U48" s="27"/>
      <c r="V48" s="12"/>
    </row>
    <row r="49" spans="1:23" ht="13">
      <c r="A49" s="15"/>
      <c r="B49" s="15"/>
      <c r="C49" s="15"/>
      <c r="D49" s="16" t="s">
        <v>81</v>
      </c>
      <c r="E49" s="17" t="s">
        <v>177</v>
      </c>
      <c r="F49" s="32" t="s">
        <v>96</v>
      </c>
      <c r="J49" s="23"/>
      <c r="K49" s="23"/>
      <c r="L49" s="23"/>
      <c r="M49" s="23"/>
      <c r="N49" s="27">
        <f>L48</f>
        <v>-1.8430740716678524</v>
      </c>
      <c r="O49" s="27">
        <f>M48</f>
        <v>-9.2091528580525157</v>
      </c>
      <c r="P49" s="27">
        <f>N48</f>
        <v>-12.862523974181977</v>
      </c>
      <c r="Q49" s="27"/>
      <c r="R49" s="27"/>
      <c r="S49" s="27"/>
      <c r="T49" s="27"/>
      <c r="U49" s="27"/>
      <c r="V49" s="12"/>
    </row>
    <row r="50" spans="1:23" ht="13">
      <c r="A50" s="15"/>
      <c r="B50" s="15"/>
      <c r="C50" s="15"/>
      <c r="D50" s="16"/>
      <c r="E50" s="19"/>
      <c r="F50" s="32"/>
      <c r="Q50" s="27"/>
      <c r="R50" s="27"/>
      <c r="S50" s="27"/>
      <c r="T50" s="27"/>
      <c r="U50" s="27"/>
      <c r="V50" s="12"/>
    </row>
    <row r="51" spans="1:23" ht="13">
      <c r="A51" s="15"/>
      <c r="B51" s="15"/>
      <c r="C51" s="15"/>
      <c r="D51" s="16"/>
      <c r="E51" s="28" t="s">
        <v>178</v>
      </c>
      <c r="F51" s="32"/>
      <c r="Q51" s="27"/>
      <c r="R51" s="27"/>
      <c r="S51" s="27"/>
      <c r="T51" s="27"/>
      <c r="U51" s="27"/>
      <c r="V51" s="12"/>
    </row>
    <row r="52" spans="1:23" ht="13">
      <c r="A52" s="15"/>
      <c r="B52" s="15"/>
      <c r="C52" s="15"/>
      <c r="D52" s="16" t="s">
        <v>68</v>
      </c>
      <c r="E52" s="17" t="s">
        <v>179</v>
      </c>
      <c r="F52" s="32"/>
      <c r="L52" s="117">
        <f>IF(L39=0,0,ABS((L41-L39)/L39))</f>
        <v>3.7540130033060079E-3</v>
      </c>
      <c r="M52" s="117">
        <f t="shared" ref="M52:P52" si="11">IF(M39=0,0,ABS((M41-M39)/M39))</f>
        <v>1.7820575005429478E-2</v>
      </c>
      <c r="N52" s="117">
        <f t="shared" si="11"/>
        <v>2.4018835790883122E-2</v>
      </c>
      <c r="O52" s="117">
        <f t="shared" si="11"/>
        <v>1.9812923052023847E-2</v>
      </c>
      <c r="P52" s="117">
        <f t="shared" si="11"/>
        <v>1.2790570551905449E-4</v>
      </c>
      <c r="Q52" s="27"/>
      <c r="R52" s="27"/>
      <c r="S52" s="27"/>
      <c r="T52" s="27"/>
      <c r="U52" s="27"/>
      <c r="V52" s="12"/>
    </row>
    <row r="53" spans="1:23" s="3" customFormat="1">
      <c r="A53" s="15"/>
      <c r="B53" s="15"/>
      <c r="C53" s="15"/>
      <c r="D53" s="21" t="s">
        <v>180</v>
      </c>
      <c r="E53" s="17" t="s">
        <v>181</v>
      </c>
      <c r="F53" s="32"/>
      <c r="G53" s="15"/>
      <c r="H53" s="15"/>
      <c r="I53" s="15"/>
      <c r="J53" s="15"/>
      <c r="K53" s="15"/>
      <c r="L53" s="118" t="b">
        <f>L52&gt;Threshold.Min</f>
        <v>0</v>
      </c>
      <c r="M53" s="118" t="b">
        <f>M52&gt;Threshold.Min</f>
        <v>0</v>
      </c>
      <c r="N53" s="118" t="b">
        <f>N52&gt;Threshold.Min</f>
        <v>1</v>
      </c>
      <c r="O53" s="118" t="b">
        <f>O52&gt;Threshold.Min</f>
        <v>0</v>
      </c>
      <c r="P53" s="118" t="b">
        <f>P52&gt;Threshold.Min</f>
        <v>0</v>
      </c>
      <c r="Q53" s="27"/>
      <c r="R53" s="27"/>
      <c r="S53" s="27"/>
      <c r="T53" s="27"/>
      <c r="U53" s="27"/>
      <c r="V53" s="15"/>
      <c r="W53"/>
    </row>
    <row r="54" spans="1:23">
      <c r="A54" s="15"/>
      <c r="B54" s="15"/>
      <c r="C54" s="15"/>
      <c r="D54" s="16" t="s">
        <v>68</v>
      </c>
      <c r="E54" s="17" t="s">
        <v>182</v>
      </c>
      <c r="K54" s="15"/>
      <c r="L54" s="117">
        <f>L53*Penalty.Rate.General*MIN(1,(L52-Threshold.Min)/(Threshold.Max-Threshold.Min))</f>
        <v>0</v>
      </c>
      <c r="M54" s="117">
        <f>M53*Penalty.Rate.General*MIN(1,(M52-Threshold.Min)/(Threshold.Max-Threshold.Min))</f>
        <v>0</v>
      </c>
      <c r="N54" s="117">
        <f>N53*Penalty.Rate.General*MIN(1,(N52-Threshold.Min)/(Threshold.Max-Threshold.Min))</f>
        <v>1.2056507372649366E-2</v>
      </c>
      <c r="O54" s="117">
        <f>O53*Penalty.Rate.General*MIN(1,(O52-Threshold.Min)/(Threshold.Max-Threshold.Min))</f>
        <v>0</v>
      </c>
      <c r="P54" s="117">
        <f>P53*Penalty.Rate.General*MIN(1,(P52-Threshold.Min)/(Threshold.Max-Threshold.Min))</f>
        <v>0</v>
      </c>
      <c r="Q54" s="27"/>
      <c r="R54" s="27"/>
      <c r="S54" s="27"/>
      <c r="T54" s="27"/>
      <c r="U54" s="27"/>
    </row>
    <row r="55" spans="1:23" ht="13">
      <c r="A55" s="15"/>
      <c r="B55" s="15"/>
      <c r="C55" s="15"/>
      <c r="D55" s="16"/>
      <c r="E55" s="28"/>
      <c r="F55" s="32"/>
      <c r="Q55" s="27"/>
      <c r="R55" s="27"/>
      <c r="S55" s="27"/>
      <c r="T55" s="27"/>
      <c r="U55" s="27"/>
      <c r="V55" s="12"/>
    </row>
    <row r="56" spans="1:23" ht="13">
      <c r="A56" s="15"/>
      <c r="B56" s="15"/>
      <c r="C56" s="15"/>
      <c r="D56" s="16" t="s">
        <v>81</v>
      </c>
      <c r="E56" s="17" t="s">
        <v>183</v>
      </c>
      <c r="F56" s="32" t="s">
        <v>96</v>
      </c>
      <c r="J56" s="23"/>
      <c r="K56" s="23"/>
      <c r="L56" s="27">
        <f>0-L54*ABS(L41-L39)</f>
        <v>0</v>
      </c>
      <c r="M56" s="27">
        <f>0-M54*ABS(M41-M39)</f>
        <v>0</v>
      </c>
      <c r="N56" s="27">
        <f>0-N54*ABS(N41-N39)</f>
        <v>-0.13479004929804841</v>
      </c>
      <c r="O56" s="27">
        <f t="shared" ref="O56:P56" si="12">0-O54*ABS(O41-O39)</f>
        <v>0</v>
      </c>
      <c r="P56" s="27">
        <f t="shared" si="12"/>
        <v>0</v>
      </c>
      <c r="Q56" s="27"/>
      <c r="R56" s="27"/>
      <c r="S56" s="27"/>
      <c r="T56" s="27"/>
      <c r="U56" s="27"/>
      <c r="V56" s="12"/>
    </row>
    <row r="57" spans="1:23" ht="13">
      <c r="A57" s="15"/>
      <c r="B57" s="15"/>
      <c r="C57" s="15"/>
      <c r="D57" s="16" t="s">
        <v>81</v>
      </c>
      <c r="E57" s="17" t="s">
        <v>184</v>
      </c>
      <c r="F57" s="32" t="s">
        <v>96</v>
      </c>
      <c r="J57" s="23"/>
      <c r="K57" s="23"/>
      <c r="L57" s="27">
        <f>L56*(1+Discount.Rate)</f>
        <v>0</v>
      </c>
      <c r="M57" s="27">
        <f>M56*(1+Discount.Rate)</f>
        <v>0</v>
      </c>
      <c r="N57" s="27">
        <f>N56*(1+Discount.Rate)</f>
        <v>-0.13964249107277815</v>
      </c>
      <c r="O57" s="23"/>
      <c r="P57" s="23"/>
      <c r="Q57" s="27"/>
      <c r="R57" s="27"/>
      <c r="S57" s="27"/>
      <c r="T57" s="27"/>
      <c r="U57" s="27"/>
      <c r="V57" s="12"/>
    </row>
    <row r="58" spans="1:23" ht="13">
      <c r="A58" s="15"/>
      <c r="B58" s="15"/>
      <c r="C58" s="15"/>
      <c r="D58" s="16" t="s">
        <v>81</v>
      </c>
      <c r="E58" s="17" t="s">
        <v>185</v>
      </c>
      <c r="F58" s="32" t="s">
        <v>96</v>
      </c>
      <c r="J58" s="95"/>
      <c r="K58" s="23"/>
      <c r="L58" s="27">
        <f>L57*INDEX(Indexation.November.Actual.YearOnYear,,MATCH(M$5,Calendar.Years,0))*(INDEX(Indexation.November.Actual.YearOnYear,,MATCH(N$5,Calendar.Years,0)))</f>
        <v>0</v>
      </c>
      <c r="M58" s="27">
        <f>M57*INDEX(Indexation.November.Actual.YearOnYear,,MATCH(N$5,Calendar.Years,0))*(INDEX(Indexation.November.Actual.YearOnYear,,MATCH(O$5,Calendar.Years,0)))</f>
        <v>0</v>
      </c>
      <c r="N58" s="27">
        <f>N57*INDEX(Indexation.November.Actual.YearOnYear,,MATCH(O$5,Calendar.Years,0))*(INDEX(Indexation.November.Actual.YearOnYear,,MATCH(P$5,Calendar.Years,0)))</f>
        <v>-0.14968833506332452</v>
      </c>
      <c r="O58" s="23"/>
      <c r="P58" s="23"/>
      <c r="Q58" s="27"/>
      <c r="R58" s="27"/>
      <c r="S58" s="27"/>
      <c r="T58" s="27"/>
      <c r="U58" s="27"/>
      <c r="V58" s="12"/>
    </row>
    <row r="59" spans="1:23" ht="13">
      <c r="A59" s="15"/>
      <c r="B59" s="15"/>
      <c r="C59" s="15"/>
      <c r="D59" s="16" t="s">
        <v>81</v>
      </c>
      <c r="E59" s="17" t="s">
        <v>186</v>
      </c>
      <c r="F59" s="32" t="s">
        <v>96</v>
      </c>
      <c r="J59" s="23"/>
      <c r="K59" s="23"/>
      <c r="L59" s="23"/>
      <c r="M59" s="23"/>
      <c r="N59" s="27">
        <f>L58</f>
        <v>0</v>
      </c>
      <c r="O59" s="27">
        <f>M58</f>
        <v>0</v>
      </c>
      <c r="P59" s="27">
        <f>N58</f>
        <v>-0.14968833506332452</v>
      </c>
      <c r="Q59" s="27"/>
      <c r="R59" s="27"/>
      <c r="T59" s="27"/>
      <c r="U59" s="27"/>
      <c r="V59" s="12"/>
    </row>
    <row r="60" spans="1:23" ht="13">
      <c r="A60" s="15"/>
      <c r="B60" s="15"/>
      <c r="C60" s="15"/>
      <c r="F60"/>
      <c r="Q60" s="27"/>
      <c r="R60" s="27"/>
      <c r="S60" s="27"/>
      <c r="T60" s="27"/>
      <c r="U60" s="27"/>
      <c r="V60" s="12"/>
    </row>
    <row r="61" spans="1:23" ht="13">
      <c r="A61" s="15"/>
      <c r="B61" s="15"/>
      <c r="C61" s="15"/>
      <c r="E61" s="28" t="s">
        <v>187</v>
      </c>
      <c r="F61"/>
      <c r="Q61" s="27"/>
      <c r="R61" s="27"/>
      <c r="S61" s="27"/>
      <c r="T61" s="27"/>
      <c r="U61" s="27"/>
      <c r="V61" s="12"/>
    </row>
    <row r="62" spans="1:23" ht="13">
      <c r="A62" s="15"/>
      <c r="B62" s="15"/>
      <c r="C62" s="15"/>
      <c r="D62" s="16" t="s">
        <v>81</v>
      </c>
      <c r="E62" s="17" t="s">
        <v>177</v>
      </c>
      <c r="F62" s="32" t="s">
        <v>96</v>
      </c>
      <c r="L62" s="23"/>
      <c r="M62" s="23"/>
      <c r="N62" s="27">
        <f>N49</f>
        <v>-1.8430740716678524</v>
      </c>
      <c r="O62" s="27">
        <f>O49</f>
        <v>-9.2091528580525157</v>
      </c>
      <c r="P62" s="27">
        <f>P49</f>
        <v>-12.862523974181977</v>
      </c>
      <c r="Q62" s="27"/>
      <c r="R62" s="27"/>
      <c r="S62" s="27"/>
      <c r="T62" s="27"/>
      <c r="U62" s="27"/>
      <c r="V62" s="12"/>
    </row>
    <row r="63" spans="1:23" ht="13">
      <c r="A63" s="15"/>
      <c r="B63" s="15"/>
      <c r="C63" s="15"/>
      <c r="D63" s="16" t="s">
        <v>81</v>
      </c>
      <c r="E63" s="17" t="s">
        <v>186</v>
      </c>
      <c r="F63" s="32" t="s">
        <v>96</v>
      </c>
      <c r="L63" s="23"/>
      <c r="M63" s="23"/>
      <c r="N63" s="27">
        <f>N59</f>
        <v>0</v>
      </c>
      <c r="O63" s="27">
        <f>O59</f>
        <v>0</v>
      </c>
      <c r="P63" s="27">
        <f>P59</f>
        <v>-0.14968833506332452</v>
      </c>
      <c r="Q63" s="27"/>
      <c r="R63" s="27"/>
      <c r="S63" s="27"/>
      <c r="T63" s="27"/>
      <c r="U63" s="27"/>
      <c r="V63" s="12"/>
    </row>
    <row r="64" spans="1:23">
      <c r="A64" s="15"/>
      <c r="B64" s="15"/>
      <c r="C64" s="15"/>
      <c r="D64" s="16" t="s">
        <v>81</v>
      </c>
      <c r="E64" s="17" t="s">
        <v>188</v>
      </c>
      <c r="F64" s="32" t="s">
        <v>96</v>
      </c>
      <c r="K64" s="15"/>
      <c r="L64" s="23"/>
      <c r="M64" s="23"/>
      <c r="N64" s="27">
        <f>SUM(N62:N63)</f>
        <v>-1.8430740716678524</v>
      </c>
      <c r="O64" s="27">
        <f>SUM(O62:O63)</f>
        <v>-9.2091528580525157</v>
      </c>
      <c r="P64" s="27">
        <f>SUM(P62:P63)</f>
        <v>-13.012212309245301</v>
      </c>
    </row>
    <row r="65" spans="1:23">
      <c r="A65" s="15"/>
      <c r="B65" s="15"/>
      <c r="C65" s="15"/>
      <c r="K65" s="15"/>
    </row>
    <row r="66" spans="1:23">
      <c r="A66" s="15"/>
      <c r="B66" s="15"/>
      <c r="C66" s="15"/>
      <c r="E66" s="32" t="s">
        <v>189</v>
      </c>
      <c r="K66" s="15"/>
    </row>
    <row r="67" spans="1:23">
      <c r="D67" s="21" t="s">
        <v>180</v>
      </c>
      <c r="E67" s="17" t="s">
        <v>190</v>
      </c>
      <c r="K67" s="15"/>
      <c r="L67" s="118" t="b">
        <f t="shared" ref="L67:O67" si="13">ABS(Perc.Recovered.Water)&gt;Additional.Analysis</f>
        <v>0</v>
      </c>
      <c r="M67" s="118" t="b">
        <f t="shared" si="13"/>
        <v>0</v>
      </c>
      <c r="N67" s="118" t="b">
        <f t="shared" si="13"/>
        <v>0</v>
      </c>
      <c r="O67" s="118" t="b">
        <f t="shared" si="13"/>
        <v>0</v>
      </c>
      <c r="P67" s="118" t="b">
        <f>ABS(Perc.Recovered.Water)&gt;Additional.Analysis</f>
        <v>0</v>
      </c>
    </row>
    <row r="68" spans="1:23">
      <c r="D68" s="21"/>
      <c r="E68" s="17"/>
    </row>
    <row r="69" spans="1:23" s="7" customFormat="1" ht="14">
      <c r="A69" s="111"/>
      <c r="B69" s="8"/>
      <c r="C69" s="8"/>
      <c r="D69" s="115"/>
      <c r="E69" s="112" t="s">
        <v>191</v>
      </c>
      <c r="F69" s="113"/>
      <c r="G69" s="24"/>
      <c r="H69" s="24"/>
      <c r="I69" s="24"/>
      <c r="J69" s="24"/>
      <c r="K69" s="24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4"/>
      <c r="W69" s="24"/>
    </row>
    <row r="70" spans="1:23">
      <c r="E70" s="17"/>
    </row>
    <row r="71" spans="1:23">
      <c r="E71" s="32" t="s">
        <v>192</v>
      </c>
    </row>
    <row r="72" spans="1:23">
      <c r="D72" s="16" t="s">
        <v>81</v>
      </c>
      <c r="E72" s="17" t="s">
        <v>193</v>
      </c>
      <c r="F72" s="32" t="s">
        <v>96</v>
      </c>
      <c r="L72" s="23"/>
      <c r="M72" s="23"/>
      <c r="N72" s="23"/>
      <c r="O72" s="23"/>
      <c r="P72" s="27">
        <f>0-O43*(1+Discount.Rate)*Indexation.November.Actual.YearOnYear</f>
        <v>-10.098954937907084</v>
      </c>
    </row>
    <row r="73" spans="1:23">
      <c r="D73" s="16" t="s">
        <v>81</v>
      </c>
      <c r="E73" s="17" t="s">
        <v>194</v>
      </c>
      <c r="F73" s="32" t="s">
        <v>96</v>
      </c>
      <c r="L73" s="23"/>
      <c r="M73" s="23"/>
      <c r="N73" s="23"/>
      <c r="O73" s="23"/>
      <c r="P73" s="27">
        <f>O56*Indexation.November.Actual.YearOnYear</f>
        <v>0</v>
      </c>
    </row>
    <row r="74" spans="1:23">
      <c r="D74" s="16" t="s">
        <v>81</v>
      </c>
      <c r="E74" s="17" t="s">
        <v>195</v>
      </c>
      <c r="F74" s="32" t="s">
        <v>96</v>
      </c>
      <c r="L74" s="23"/>
      <c r="M74" s="23"/>
      <c r="N74" s="23"/>
      <c r="O74" s="23"/>
      <c r="P74" s="27">
        <f>SUM(P72:P73)</f>
        <v>-10.098954937907084</v>
      </c>
    </row>
    <row r="75" spans="1:23"/>
    <row r="76" spans="1:23">
      <c r="E76" s="32" t="s">
        <v>196</v>
      </c>
    </row>
    <row r="77" spans="1:23">
      <c r="D77" s="16" t="s">
        <v>81</v>
      </c>
      <c r="E77" s="17" t="s">
        <v>197</v>
      </c>
      <c r="F77" s="32" t="s">
        <v>96</v>
      </c>
      <c r="L77" s="23"/>
      <c r="M77" s="23"/>
      <c r="N77" s="23"/>
      <c r="O77" s="23"/>
      <c r="P77" s="27">
        <f>0-P43</f>
        <v>-6.4823529468583274E-2</v>
      </c>
    </row>
    <row r="78" spans="1:23">
      <c r="D78" s="16" t="s">
        <v>81</v>
      </c>
      <c r="E78" s="17" t="s">
        <v>198</v>
      </c>
      <c r="F78" s="32" t="s">
        <v>96</v>
      </c>
      <c r="L78" s="23"/>
      <c r="M78" s="23"/>
      <c r="N78" s="23"/>
      <c r="O78" s="23"/>
      <c r="P78" s="27">
        <f>P56</f>
        <v>0</v>
      </c>
    </row>
    <row r="79" spans="1:23">
      <c r="D79" s="16" t="s">
        <v>81</v>
      </c>
      <c r="E79" s="17" t="s">
        <v>199</v>
      </c>
      <c r="F79" s="32" t="s">
        <v>96</v>
      </c>
      <c r="L79" s="23"/>
      <c r="M79" s="23"/>
      <c r="N79" s="23"/>
      <c r="O79" s="23"/>
      <c r="P79" s="27">
        <f>SUM(P77:P78)</f>
        <v>-6.4823529468583274E-2</v>
      </c>
    </row>
    <row r="80" spans="1:23">
      <c r="E80" s="17"/>
    </row>
    <row r="81" spans="1:23">
      <c r="E81" s="32" t="s">
        <v>245</v>
      </c>
    </row>
    <row r="82" spans="1:23">
      <c r="D82" s="16" t="s">
        <v>81</v>
      </c>
      <c r="E82" s="135" t="str">
        <f>E28</f>
        <v>AMP5 RCM adjustment to be applied at PR19 (Outturn price base)</v>
      </c>
      <c r="F82" s="32" t="s">
        <v>96</v>
      </c>
      <c r="L82" s="23"/>
      <c r="M82" s="23"/>
      <c r="N82" s="23"/>
      <c r="O82" s="23"/>
      <c r="P82" s="136">
        <f>P28</f>
        <v>0</v>
      </c>
    </row>
    <row r="83" spans="1:23">
      <c r="E83" s="17"/>
    </row>
    <row r="84" spans="1:23" ht="13">
      <c r="D84" s="16" t="s">
        <v>81</v>
      </c>
      <c r="E84" s="28" t="s">
        <v>200</v>
      </c>
      <c r="F84" s="32" t="s">
        <v>96</v>
      </c>
      <c r="L84" s="23"/>
      <c r="M84" s="23"/>
      <c r="N84" s="23"/>
      <c r="O84" s="23"/>
      <c r="P84" s="136">
        <f>SUM(P74,P79,P82)</f>
        <v>-10.163778467375668</v>
      </c>
      <c r="Q84" s="12" t="s">
        <v>201</v>
      </c>
    </row>
    <row r="85" spans="1:23" ht="13" thickBot="1">
      <c r="E85" s="20"/>
    </row>
    <row r="86" spans="1:23" ht="13.5" thickBot="1">
      <c r="A86" s="10" t="s">
        <v>111</v>
      </c>
      <c r="B86" s="11"/>
      <c r="C86" s="11"/>
      <c r="D86" s="11"/>
      <c r="E86" s="11"/>
      <c r="F86" s="33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</row>
    <row r="87" spans="1:23"/>
    <row r="177"/>
    <row r="178"/>
    <row r="179"/>
    <row r="180"/>
    <row r="181"/>
    <row r="182"/>
  </sheetData>
  <conditionalFormatting sqref="L53:P53">
    <cfRule type="cellIs" dxfId="3" priority="4" operator="equal">
      <formula>TRUE</formula>
    </cfRule>
  </conditionalFormatting>
  <conditionalFormatting sqref="L67:P67">
    <cfRule type="cellIs" dxfId="2" priority="3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theme="3" tint="0.39997558519241921"/>
    <pageSetUpPr fitToPage="1"/>
  </sheetPr>
  <dimension ref="A1:W164"/>
  <sheetViews>
    <sheetView showGridLines="0" zoomScale="80" zoomScaleNormal="80" workbookViewId="0">
      <pane xSplit="8" ySplit="7" topLeftCell="I8" activePane="bottomRight" state="frozen"/>
      <selection activeCell="P85" sqref="P85"/>
      <selection pane="topRight" activeCell="P85" sqref="P85"/>
      <selection pane="bottomLeft" activeCell="P85" sqref="P85"/>
      <selection pane="bottomRight" activeCell="I8" sqref="I8"/>
    </sheetView>
  </sheetViews>
  <sheetFormatPr defaultColWidth="0" defaultRowHeight="12.5" zeroHeight="1"/>
  <cols>
    <col min="1" max="3" width="2.7265625" customWidth="1"/>
    <col min="4" max="4" width="9.1796875" customWidth="1"/>
    <col min="5" max="5" width="68.81640625" customWidth="1"/>
    <col min="6" max="6" width="15.7265625" customWidth="1"/>
    <col min="7" max="7" width="7.81640625" customWidth="1"/>
    <col min="8" max="8" width="10.7265625" customWidth="1"/>
    <col min="9" max="21" width="10.54296875" customWidth="1"/>
    <col min="22" max="22" width="26.54296875" customWidth="1"/>
    <col min="23" max="23" width="9.1796875" customWidth="1"/>
    <col min="24" max="28" width="0" hidden="1" customWidth="1"/>
  </cols>
  <sheetData>
    <row r="1" spans="1:23" s="2" customFormat="1" ht="32.5">
      <c r="A1" s="25"/>
      <c r="B1" s="25"/>
      <c r="C1" s="25"/>
      <c r="D1" s="25" t="s">
        <v>202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s="2" customFormat="1" ht="14">
      <c r="F2" s="15"/>
      <c r="G2" s="15"/>
      <c r="O2" s="15"/>
      <c r="P2" s="15"/>
    </row>
    <row r="3" spans="1:23" s="3" customFormat="1" ht="13">
      <c r="A3" s="15"/>
      <c r="B3" s="15"/>
      <c r="C3" s="15"/>
      <c r="D3" s="15"/>
      <c r="E3" s="15" t="s">
        <v>57</v>
      </c>
      <c r="F3" s="15"/>
      <c r="G3" s="15"/>
      <c r="H3" s="15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2"/>
      <c r="W3" s="15"/>
    </row>
    <row r="4" spans="1:23" s="3" customFormat="1" ht="13">
      <c r="A4" s="110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2"/>
      <c r="W4" s="15"/>
    </row>
    <row r="5" spans="1:23" s="3" customFormat="1" ht="13">
      <c r="A5" s="15"/>
      <c r="B5" s="15"/>
      <c r="C5" s="15"/>
      <c r="D5" s="15"/>
      <c r="E5" s="15" t="s">
        <v>58</v>
      </c>
      <c r="F5" s="15"/>
      <c r="G5" s="15"/>
      <c r="H5" s="15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12"/>
      <c r="W5" s="15"/>
    </row>
    <row r="6" spans="1:23" s="3" customFormat="1" ht="13">
      <c r="A6" s="15"/>
      <c r="B6" s="15"/>
      <c r="C6" s="15"/>
      <c r="D6" s="15"/>
      <c r="E6" s="15" t="s">
        <v>59</v>
      </c>
      <c r="F6" s="15"/>
      <c r="G6" s="15"/>
      <c r="H6" s="15"/>
      <c r="I6" s="15"/>
      <c r="J6" s="15"/>
      <c r="K6" s="6"/>
      <c r="L6" s="110">
        <v>1</v>
      </c>
      <c r="M6" s="110">
        <v>2</v>
      </c>
      <c r="N6" s="110">
        <v>3</v>
      </c>
      <c r="O6" s="110">
        <v>4</v>
      </c>
      <c r="P6" s="110">
        <v>5</v>
      </c>
      <c r="Q6" s="110">
        <v>6</v>
      </c>
      <c r="R6" s="110">
        <v>7</v>
      </c>
      <c r="S6" s="110">
        <v>8</v>
      </c>
      <c r="T6" s="110">
        <v>9</v>
      </c>
      <c r="U6" s="110">
        <v>10</v>
      </c>
      <c r="V6" s="15"/>
      <c r="W6" s="15"/>
    </row>
    <row r="7" spans="1:23"/>
    <row r="8" spans="1:23" s="7" customFormat="1" ht="14">
      <c r="A8" s="111"/>
      <c r="B8" s="8"/>
      <c r="C8" s="8"/>
      <c r="D8" s="115"/>
      <c r="E8" s="112" t="s">
        <v>144</v>
      </c>
      <c r="F8" s="24"/>
      <c r="G8" s="24"/>
      <c r="H8" s="24"/>
      <c r="I8" s="24"/>
      <c r="J8" s="24"/>
      <c r="K8" s="24"/>
      <c r="L8" s="26"/>
      <c r="M8" s="26"/>
      <c r="N8" s="26"/>
      <c r="O8" s="26"/>
      <c r="P8" s="26"/>
      <c r="Q8" s="26"/>
      <c r="R8" s="26"/>
      <c r="S8" s="26"/>
      <c r="T8" s="26"/>
      <c r="U8" s="26"/>
      <c r="V8" s="24"/>
      <c r="W8" s="24"/>
    </row>
    <row r="9" spans="1:23" s="3" customFormat="1">
      <c r="A9" s="15"/>
      <c r="B9" s="15"/>
      <c r="C9" s="15"/>
      <c r="D9" s="16"/>
      <c r="E9" s="15"/>
      <c r="F9" s="15"/>
      <c r="G9" s="15"/>
      <c r="H9" s="15"/>
      <c r="I9" s="15"/>
      <c r="J9" s="15"/>
      <c r="K9" s="15"/>
      <c r="L9" s="27"/>
      <c r="M9" s="27"/>
      <c r="N9" s="27"/>
      <c r="O9" s="27"/>
      <c r="P9" s="27"/>
      <c r="Q9" s="27"/>
      <c r="R9" s="27"/>
      <c r="S9" s="27"/>
      <c r="T9" s="27"/>
      <c r="U9" s="27"/>
      <c r="V9" s="15"/>
      <c r="W9" s="15"/>
    </row>
    <row r="10" spans="1:23" s="3" customFormat="1">
      <c r="A10" s="15"/>
      <c r="B10" s="15"/>
      <c r="C10" s="15"/>
      <c r="D10" s="16"/>
      <c r="E10" s="32" t="s">
        <v>145</v>
      </c>
      <c r="F10" s="15"/>
      <c r="G10" s="15"/>
      <c r="H10" s="15"/>
      <c r="I10" s="15"/>
      <c r="J10" s="15"/>
      <c r="K10" s="15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15"/>
      <c r="W10" s="15"/>
    </row>
    <row r="11" spans="1:23" s="3" customFormat="1" ht="13">
      <c r="A11" s="15"/>
      <c r="B11" s="15"/>
      <c r="C11" s="15"/>
      <c r="D11" s="16"/>
      <c r="E11" s="9" t="s">
        <v>146</v>
      </c>
      <c r="F11" s="15"/>
      <c r="G11" s="15"/>
      <c r="H11" s="15"/>
      <c r="I11" s="15"/>
      <c r="J11" s="15"/>
      <c r="K11" s="15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15"/>
      <c r="W11" s="15"/>
    </row>
    <row r="12" spans="1:23" s="3" customFormat="1">
      <c r="A12" s="15"/>
      <c r="B12" s="15"/>
      <c r="C12" s="15"/>
      <c r="D12" s="16" t="s">
        <v>88</v>
      </c>
      <c r="E12" s="17" t="s">
        <v>87</v>
      </c>
      <c r="F12" s="32"/>
      <c r="G12" s="15"/>
      <c r="H12" s="15"/>
      <c r="I12" s="15"/>
      <c r="J12" s="15"/>
      <c r="K12" s="27"/>
      <c r="L12" s="27">
        <f>K.Waste</f>
        <v>0</v>
      </c>
      <c r="M12" s="27">
        <f>K.Waste</f>
        <v>0.86</v>
      </c>
      <c r="N12" s="27">
        <f>K.Waste</f>
        <v>0.72</v>
      </c>
      <c r="O12" s="27">
        <f>K.Waste</f>
        <v>0.73</v>
      </c>
      <c r="P12" s="27">
        <f>K.Waste</f>
        <v>0.12</v>
      </c>
      <c r="Q12" s="27"/>
      <c r="R12" s="27"/>
      <c r="S12" s="27"/>
      <c r="T12" s="27"/>
      <c r="U12" s="27"/>
      <c r="V12" s="15"/>
      <c r="W12" s="15"/>
    </row>
    <row r="13" spans="1:23" s="3" customFormat="1">
      <c r="A13" s="15"/>
      <c r="B13" s="15"/>
      <c r="C13" s="15"/>
      <c r="D13" s="16" t="s">
        <v>88</v>
      </c>
      <c r="E13" s="17" t="s">
        <v>147</v>
      </c>
      <c r="F13" s="32"/>
      <c r="G13" s="15"/>
      <c r="H13" s="15"/>
      <c r="I13" s="15"/>
      <c r="J13" s="15"/>
      <c r="K13" s="27"/>
      <c r="L13" s="27">
        <f>(Indexation.November.Actual.YearOnYear-1)*100</f>
        <v>1.983339944466489</v>
      </c>
      <c r="M13" s="27">
        <f>(Indexation.November.Actual.YearOnYear-1)*100</f>
        <v>1.0501750291715295</v>
      </c>
      <c r="N13" s="27">
        <f>(Indexation.November.Actual.YearOnYear-1)*100</f>
        <v>2.1939953810623525</v>
      </c>
      <c r="O13" s="27">
        <f>(Indexation.November.Actual.YearOnYear-1)*100</f>
        <v>3.8794726930320156</v>
      </c>
      <c r="P13" s="27">
        <f>(Indexation.November.Actual.YearOnYear-1)*100</f>
        <v>3.1907179115300943</v>
      </c>
      <c r="Q13" s="27"/>
      <c r="R13" s="27"/>
      <c r="S13" s="27"/>
      <c r="T13" s="27"/>
      <c r="U13" s="27"/>
      <c r="V13" s="15"/>
      <c r="W13" s="15"/>
    </row>
    <row r="14" spans="1:23" s="3" customFormat="1">
      <c r="A14" s="15"/>
      <c r="B14" s="15"/>
      <c r="C14" s="15"/>
      <c r="D14" s="16" t="s">
        <v>88</v>
      </c>
      <c r="E14" s="17" t="s">
        <v>148</v>
      </c>
      <c r="F14" s="32"/>
      <c r="G14" s="15"/>
      <c r="H14" s="15"/>
      <c r="I14" s="15"/>
      <c r="J14" s="15"/>
      <c r="K14" s="27"/>
      <c r="L14" s="27">
        <f>1+(L13+L12)/100</f>
        <v>1.0198333994446649</v>
      </c>
      <c r="M14" s="27">
        <f>1+(M13+M12)/100</f>
        <v>1.0191017502917152</v>
      </c>
      <c r="N14" s="27">
        <f t="shared" ref="N14:P14" si="2">1+(N13+N12)/100</f>
        <v>1.0291399538106236</v>
      </c>
      <c r="O14" s="27">
        <f t="shared" si="2"/>
        <v>1.0460947269303202</v>
      </c>
      <c r="P14" s="27">
        <f t="shared" si="2"/>
        <v>1.033107179115301</v>
      </c>
      <c r="Q14" s="27"/>
      <c r="R14" s="27"/>
      <c r="S14" s="27"/>
      <c r="T14" s="27"/>
      <c r="U14" s="27"/>
      <c r="V14" s="15"/>
      <c r="W14" s="15"/>
    </row>
    <row r="15" spans="1:23" s="3" customFormat="1" ht="13">
      <c r="A15" s="15"/>
      <c r="B15" s="15"/>
      <c r="C15" s="15"/>
      <c r="D15" s="16" t="s">
        <v>81</v>
      </c>
      <c r="E15" s="17" t="s">
        <v>149</v>
      </c>
      <c r="F15" s="32" t="s">
        <v>96</v>
      </c>
      <c r="G15" s="15"/>
      <c r="H15" s="15"/>
      <c r="I15" s="15"/>
      <c r="J15" s="15"/>
      <c r="K15" s="27">
        <f>AllRev.Waste</f>
        <v>637.02099999999996</v>
      </c>
      <c r="L15" s="27">
        <f>K15*L14</f>
        <v>649.65529194763985</v>
      </c>
      <c r="M15" s="27">
        <f>L15*M14</f>
        <v>662.06484511011502</v>
      </c>
      <c r="N15" s="27">
        <f>M15*N14</f>
        <v>681.35738411626141</v>
      </c>
      <c r="O15" s="27">
        <f t="shared" ref="O15:P15" si="3">N15*O14</f>
        <v>712.76436667905784</v>
      </c>
      <c r="P15" s="27">
        <f t="shared" si="3"/>
        <v>736.36198423370547</v>
      </c>
      <c r="Q15" s="27"/>
      <c r="R15" s="27"/>
      <c r="S15" s="27"/>
      <c r="T15" s="27"/>
      <c r="U15" s="27"/>
      <c r="V15" s="12" t="s">
        <v>203</v>
      </c>
      <c r="W15" s="15"/>
    </row>
    <row r="16" spans="1:23" s="3" customFormat="1">
      <c r="A16" s="15"/>
      <c r="B16" s="15"/>
      <c r="C16" s="15"/>
      <c r="D16" s="16"/>
      <c r="E16" s="15"/>
      <c r="F16" s="32"/>
      <c r="G16" s="15"/>
      <c r="H16" s="15"/>
      <c r="I16" s="15"/>
      <c r="J16" s="15"/>
      <c r="K16" s="15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15"/>
      <c r="W16" s="15"/>
    </row>
    <row r="17" spans="1:23" s="3" customFormat="1">
      <c r="D17" s="16"/>
      <c r="E17" s="32" t="s">
        <v>151</v>
      </c>
      <c r="F17" s="32"/>
      <c r="G17" s="15"/>
      <c r="H17" s="15"/>
      <c r="I17" s="15"/>
      <c r="J17" s="15"/>
      <c r="K17" s="15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15"/>
    </row>
    <row r="18" spans="1:23" s="3" customFormat="1" ht="13">
      <c r="D18" s="16"/>
      <c r="E18" s="9" t="s">
        <v>152</v>
      </c>
      <c r="F18" s="32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27"/>
      <c r="T18" s="27"/>
      <c r="U18" s="27"/>
      <c r="V18" s="15"/>
    </row>
    <row r="19" spans="1:23" s="3" customFormat="1" ht="13">
      <c r="D19" s="16" t="s">
        <v>81</v>
      </c>
      <c r="E19" s="17" t="s">
        <v>153</v>
      </c>
      <c r="F19" s="32" t="s">
        <v>103</v>
      </c>
      <c r="G19" s="15"/>
      <c r="H19" s="15"/>
      <c r="I19" s="15"/>
      <c r="J19" s="15"/>
      <c r="K19" s="27">
        <f>BlindYear.1415.Adj.Waste</f>
        <v>-3.3147656069530314</v>
      </c>
      <c r="L19" s="12" t="s">
        <v>204</v>
      </c>
      <c r="M19" s="15"/>
      <c r="N19" s="15"/>
      <c r="O19" s="15"/>
      <c r="P19" s="15"/>
      <c r="Q19" s="15"/>
      <c r="R19" s="15"/>
      <c r="S19" s="27"/>
      <c r="T19" s="27"/>
      <c r="U19" s="27"/>
      <c r="V19" s="15"/>
    </row>
    <row r="20" spans="1:23" s="3" customFormat="1">
      <c r="D20" s="16" t="s">
        <v>81</v>
      </c>
      <c r="E20" s="17" t="s">
        <v>155</v>
      </c>
      <c r="F20" s="32" t="s">
        <v>103</v>
      </c>
      <c r="G20" s="15"/>
      <c r="H20" s="15"/>
      <c r="I20" s="15"/>
      <c r="J20" s="15"/>
      <c r="K20" s="27">
        <f>AMP5.RCM.Adj.Waste</f>
        <v>-3.3147656069530314</v>
      </c>
      <c r="L20" s="27">
        <f>K20*(1+Discount.Rate)</f>
        <v>-3.4340971688033406</v>
      </c>
      <c r="M20" s="27">
        <f>L20*(1+Discount.Rate)</f>
        <v>-3.5577246668802611</v>
      </c>
      <c r="N20" s="27">
        <f>M20*(1+Discount.Rate)</f>
        <v>-3.6858027548879506</v>
      </c>
      <c r="O20" s="27">
        <f>N20*(1+Discount.Rate)</f>
        <v>-3.8184916540639171</v>
      </c>
      <c r="P20" s="27">
        <f>O20*(1+Discount.Rate)</f>
        <v>-3.9559573536102182</v>
      </c>
      <c r="Q20" s="15"/>
      <c r="R20" s="15"/>
      <c r="S20" s="27"/>
      <c r="T20" s="27"/>
      <c r="U20" s="27"/>
      <c r="V20" s="15"/>
    </row>
    <row r="21" spans="1:23" s="3" customFormat="1">
      <c r="D21" s="16" t="s">
        <v>135</v>
      </c>
      <c r="E21" s="17" t="str">
        <f>Data!E45</f>
        <v>Percentage of blind year adjustment by year - waste</v>
      </c>
      <c r="F21" s="32" t="s">
        <v>156</v>
      </c>
      <c r="G21" s="15"/>
      <c r="H21" s="15"/>
      <c r="I21" s="15"/>
      <c r="J21" s="15"/>
      <c r="K21" s="23"/>
      <c r="L21" s="23"/>
      <c r="M21" s="23"/>
      <c r="N21" s="122">
        <f>Data!N45</f>
        <v>1</v>
      </c>
      <c r="O21" s="122">
        <f>Data!O45</f>
        <v>0</v>
      </c>
      <c r="P21" s="122">
        <f>Data!P45</f>
        <v>0</v>
      </c>
      <c r="Q21" s="15"/>
      <c r="R21" s="15"/>
      <c r="S21" s="27"/>
      <c r="T21" s="27"/>
      <c r="U21" s="27"/>
      <c r="V21" s="15"/>
    </row>
    <row r="22" spans="1:23" s="3" customFormat="1">
      <c r="D22" s="16" t="s">
        <v>81</v>
      </c>
      <c r="E22" s="17" t="s">
        <v>157</v>
      </c>
      <c r="F22" s="32" t="s">
        <v>103</v>
      </c>
      <c r="G22" s="15"/>
      <c r="H22" s="15"/>
      <c r="I22" s="15"/>
      <c r="J22" s="15"/>
      <c r="K22" s="23"/>
      <c r="L22" s="23"/>
      <c r="M22" s="23"/>
      <c r="N22" s="27">
        <f t="shared" ref="N22:P22" si="4">N20*N21</f>
        <v>-3.6858027548879506</v>
      </c>
      <c r="O22" s="27">
        <f t="shared" si="4"/>
        <v>0</v>
      </c>
      <c r="P22" s="27">
        <f t="shared" si="4"/>
        <v>0</v>
      </c>
      <c r="Q22" s="27"/>
      <c r="R22" s="27"/>
      <c r="S22" s="27"/>
      <c r="T22" s="27"/>
      <c r="U22" s="27"/>
      <c r="V22" s="15"/>
    </row>
    <row r="23" spans="1:23" s="3" customFormat="1" ht="13">
      <c r="D23" s="16" t="s">
        <v>81</v>
      </c>
      <c r="E23" s="17" t="s">
        <v>158</v>
      </c>
      <c r="F23" s="32" t="s">
        <v>96</v>
      </c>
      <c r="G23" s="15"/>
      <c r="H23" s="15"/>
      <c r="I23" s="15"/>
      <c r="J23" s="15"/>
      <c r="K23" s="23"/>
      <c r="L23" s="23"/>
      <c r="M23" s="23"/>
      <c r="N23" s="27">
        <f>N22*Indexation.November.Actual</f>
        <v>-4.1030634441205489</v>
      </c>
      <c r="O23" s="27">
        <f t="shared" ref="O23:P23" si="5">O22*Indexation.November.Actual</f>
        <v>0</v>
      </c>
      <c r="P23" s="27">
        <f t="shared" si="5"/>
        <v>0</v>
      </c>
      <c r="Q23" s="27"/>
      <c r="R23" s="27"/>
      <c r="S23" s="27"/>
      <c r="T23" s="27"/>
      <c r="U23" s="27"/>
      <c r="V23" s="12" t="s">
        <v>205</v>
      </c>
    </row>
    <row r="24" spans="1:23" s="3" customFormat="1" ht="13">
      <c r="D24" s="16"/>
      <c r="E24" s="17"/>
      <c r="F24" s="32"/>
      <c r="G24" s="15"/>
      <c r="H24" s="15"/>
      <c r="I24" s="15"/>
      <c r="J24" s="15"/>
      <c r="K24" s="15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12"/>
    </row>
    <row r="25" spans="1:23" s="3" customFormat="1" ht="13">
      <c r="D25" s="16" t="s">
        <v>135</v>
      </c>
      <c r="E25" s="135" t="s">
        <v>250</v>
      </c>
      <c r="F25" s="32" t="s">
        <v>156</v>
      </c>
      <c r="G25" s="15"/>
      <c r="H25" s="15"/>
      <c r="I25" s="15"/>
      <c r="J25" s="15"/>
      <c r="K25" s="23"/>
      <c r="L25" s="23"/>
      <c r="M25" s="23"/>
      <c r="N25" s="23"/>
      <c r="O25" s="23"/>
      <c r="P25" s="137">
        <f xml:space="preserve"> 1 - SUM(N21:P21)</f>
        <v>0</v>
      </c>
      <c r="Q25" s="27"/>
      <c r="R25" s="27"/>
      <c r="S25" s="27"/>
      <c r="T25" s="27"/>
      <c r="U25" s="27"/>
      <c r="V25" s="12"/>
    </row>
    <row r="26" spans="1:23" s="3" customFormat="1" ht="13">
      <c r="A26" s="15"/>
      <c r="B26" s="15"/>
      <c r="C26" s="15"/>
      <c r="D26" s="16" t="s">
        <v>81</v>
      </c>
      <c r="E26" s="135" t="s">
        <v>246</v>
      </c>
      <c r="F26" s="32" t="s">
        <v>103</v>
      </c>
      <c r="G26" s="15"/>
      <c r="H26" s="15"/>
      <c r="I26" s="15"/>
      <c r="J26" s="15"/>
      <c r="K26" s="23"/>
      <c r="L26" s="95"/>
      <c r="M26" s="23"/>
      <c r="N26" s="23"/>
      <c r="O26" s="23"/>
      <c r="P26" s="136">
        <f xml:space="preserve"> P20*(1+Discount.Rate)</f>
        <v>-4.098371818340186</v>
      </c>
      <c r="Q26" s="27"/>
      <c r="R26" s="27"/>
      <c r="S26" s="27"/>
      <c r="T26" s="27"/>
      <c r="U26" s="27"/>
      <c r="V26" s="12"/>
      <c r="W26" s="15"/>
    </row>
    <row r="27" spans="1:23" s="3" customFormat="1" ht="13">
      <c r="A27" s="15"/>
      <c r="B27" s="15"/>
      <c r="C27" s="15"/>
      <c r="D27" s="16" t="s">
        <v>81</v>
      </c>
      <c r="E27" s="135" t="s">
        <v>247</v>
      </c>
      <c r="F27" s="32" t="s">
        <v>103</v>
      </c>
      <c r="G27" s="15"/>
      <c r="H27" s="15"/>
      <c r="I27" s="15"/>
      <c r="J27" s="15"/>
      <c r="K27" s="23"/>
      <c r="L27" s="95"/>
      <c r="M27" s="23"/>
      <c r="N27" s="23"/>
      <c r="O27" s="23"/>
      <c r="P27" s="136">
        <f xml:space="preserve"> P25 * P26</f>
        <v>0</v>
      </c>
      <c r="Q27" s="27"/>
      <c r="R27" s="27"/>
      <c r="S27" s="27"/>
      <c r="T27" s="27"/>
      <c r="U27" s="27"/>
      <c r="V27" s="12"/>
      <c r="W27" s="15"/>
    </row>
    <row r="28" spans="1:23" s="3" customFormat="1" ht="13">
      <c r="A28" s="15"/>
      <c r="B28" s="15"/>
      <c r="C28" s="15"/>
      <c r="D28" s="16" t="s">
        <v>81</v>
      </c>
      <c r="E28" s="135" t="s">
        <v>248</v>
      </c>
      <c r="F28" s="32" t="s">
        <v>96</v>
      </c>
      <c r="G28" s="15"/>
      <c r="H28" s="15"/>
      <c r="I28" s="15"/>
      <c r="J28" s="15"/>
      <c r="K28" s="23"/>
      <c r="L28" s="95"/>
      <c r="M28" s="23"/>
      <c r="N28" s="23"/>
      <c r="O28" s="23"/>
      <c r="P28" s="136">
        <f>P27*Indexation.November.Actual</f>
        <v>0</v>
      </c>
      <c r="Q28" s="27"/>
      <c r="R28" s="27"/>
      <c r="S28" s="27"/>
      <c r="T28" s="27"/>
      <c r="U28" s="27"/>
      <c r="V28" s="12"/>
      <c r="W28" s="15"/>
    </row>
    <row r="29" spans="1:23" s="3" customFormat="1">
      <c r="D29" s="16"/>
      <c r="E29" s="15"/>
      <c r="F29" s="32"/>
      <c r="G29" s="15"/>
      <c r="H29" s="15"/>
      <c r="I29" s="15"/>
      <c r="J29" s="15"/>
      <c r="K29" s="15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15"/>
    </row>
    <row r="30" spans="1:23" s="3" customFormat="1">
      <c r="D30" s="16"/>
      <c r="E30" s="32" t="s">
        <v>160</v>
      </c>
      <c r="F30" s="32"/>
      <c r="G30" s="15"/>
      <c r="H30" s="15"/>
      <c r="I30" s="15"/>
      <c r="J30" s="15"/>
      <c r="K30" s="15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15"/>
    </row>
    <row r="31" spans="1:23" s="3" customFormat="1" ht="13">
      <c r="D31" s="16"/>
      <c r="E31" s="9" t="s">
        <v>161</v>
      </c>
      <c r="F31" s="32"/>
      <c r="G31" s="15"/>
      <c r="H31" s="15"/>
      <c r="I31" s="15"/>
      <c r="J31" s="15"/>
      <c r="K31" s="15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15"/>
    </row>
    <row r="32" spans="1:23" s="3" customFormat="1" ht="13">
      <c r="D32" s="16" t="s">
        <v>81</v>
      </c>
      <c r="E32" s="17" t="s">
        <v>162</v>
      </c>
      <c r="F32" s="32" t="s">
        <v>96</v>
      </c>
      <c r="G32" s="15"/>
      <c r="H32" s="15"/>
      <c r="I32" s="15"/>
      <c r="J32" s="15"/>
      <c r="K32" s="15"/>
      <c r="L32" s="27">
        <f>J48+J58</f>
        <v>0</v>
      </c>
      <c r="M32" s="27">
        <f t="shared" ref="M32:P32" si="6">K48+K58</f>
        <v>0</v>
      </c>
      <c r="N32" s="27">
        <f t="shared" si="6"/>
        <v>4.1841830595313132</v>
      </c>
      <c r="O32" s="27">
        <f t="shared" si="6"/>
        <v>1.0039761274074361</v>
      </c>
      <c r="P32" s="27">
        <f t="shared" si="6"/>
        <v>-3.0931381618261407</v>
      </c>
      <c r="Q32" s="27"/>
      <c r="R32" s="27"/>
      <c r="S32" s="18"/>
      <c r="T32" s="18"/>
      <c r="U32" s="18"/>
      <c r="V32" s="12" t="s">
        <v>206</v>
      </c>
    </row>
    <row r="33" spans="1:22" s="3" customFormat="1" ht="13">
      <c r="D33" s="17" t="str">
        <f>Data!D12</f>
        <v>True/False</v>
      </c>
      <c r="E33" s="17" t="str">
        <f>Data!E12</f>
        <v>Company has accepted WRFIM licence modification</v>
      </c>
      <c r="F33" s="17"/>
      <c r="G33" s="17" t="b">
        <f>Data!G12</f>
        <v>1</v>
      </c>
      <c r="H33" s="17" t="str">
        <f>Data!H12</f>
        <v>True/False</v>
      </c>
      <c r="I33" s="15"/>
      <c r="J33" s="15"/>
      <c r="K33" s="15"/>
      <c r="L33" s="27"/>
      <c r="M33" s="27"/>
      <c r="N33" s="27"/>
      <c r="O33" s="27"/>
      <c r="P33" s="27"/>
      <c r="Q33" s="27"/>
      <c r="R33" s="27"/>
      <c r="S33" s="18"/>
      <c r="T33" s="18"/>
      <c r="U33" s="18"/>
      <c r="V33" s="12"/>
    </row>
    <row r="34" spans="1:22" s="3" customFormat="1" ht="13">
      <c r="D34" s="16" t="s">
        <v>81</v>
      </c>
      <c r="E34" s="17" t="str">
        <f>Data!E51</f>
        <v>Over-recovered 17/18 revenue returned - wastewater</v>
      </c>
      <c r="F34" s="32" t="s">
        <v>96</v>
      </c>
      <c r="G34" s="17"/>
      <c r="H34" s="17"/>
      <c r="I34" s="15"/>
      <c r="J34" s="15"/>
      <c r="K34" s="15"/>
      <c r="L34" s="27"/>
      <c r="M34" s="27"/>
      <c r="N34" s="27"/>
      <c r="O34" s="130">
        <f>(0 - Data!O51)</f>
        <v>-4</v>
      </c>
      <c r="P34" s="27"/>
      <c r="Q34" s="27"/>
      <c r="R34" s="27"/>
      <c r="S34" s="18"/>
      <c r="T34" s="18"/>
      <c r="U34" s="18"/>
      <c r="V34" s="12"/>
    </row>
    <row r="35" spans="1:22" s="3" customFormat="1" ht="13">
      <c r="D35" s="16" t="s">
        <v>81</v>
      </c>
      <c r="E35" s="17" t="s">
        <v>244</v>
      </c>
      <c r="F35" s="32" t="s">
        <v>96</v>
      </c>
      <c r="G35" s="17"/>
      <c r="H35" s="17"/>
      <c r="I35" s="15"/>
      <c r="J35" s="15"/>
      <c r="K35" s="15"/>
      <c r="L35" s="27"/>
      <c r="M35" s="27"/>
      <c r="N35" s="27"/>
      <c r="O35" s="27"/>
      <c r="P35" s="130">
        <f>(0-O34*(1+Discount.Rate))*(INDEX(Indexation.November.Actual.YearOnYear,,MATCH(P$5,Calendar.Years,0)))</f>
        <v>4.2762233502538072</v>
      </c>
      <c r="Q35" s="27"/>
      <c r="R35" s="27"/>
      <c r="S35" s="18"/>
      <c r="T35" s="18"/>
      <c r="U35" s="18"/>
      <c r="V35" s="12"/>
    </row>
    <row r="36" spans="1:22" s="3" customFormat="1" ht="13">
      <c r="D36" s="16" t="s">
        <v>81</v>
      </c>
      <c r="E36" s="17" t="str">
        <f>Data!E54</f>
        <v>Over-recovered 18/19 revenue returned - wastewater</v>
      </c>
      <c r="F36" s="32" t="s">
        <v>96</v>
      </c>
      <c r="G36" s="17"/>
      <c r="H36" s="17"/>
      <c r="I36" s="15"/>
      <c r="J36" s="15"/>
      <c r="K36" s="15"/>
      <c r="L36" s="27"/>
      <c r="M36" s="27"/>
      <c r="N36" s="27"/>
      <c r="O36" s="27"/>
      <c r="P36" s="130">
        <f>(0 - Data!P54)</f>
        <v>0</v>
      </c>
      <c r="Q36" s="27"/>
      <c r="R36" s="27"/>
      <c r="S36" s="18"/>
      <c r="T36" s="18"/>
      <c r="U36" s="18"/>
      <c r="V36" s="12"/>
    </row>
    <row r="37" spans="1:22" s="3" customFormat="1">
      <c r="D37" s="16" t="s">
        <v>81</v>
      </c>
      <c r="E37" s="17" t="s">
        <v>164</v>
      </c>
      <c r="F37" s="32" t="s">
        <v>96</v>
      </c>
      <c r="G37"/>
      <c r="H37"/>
      <c r="I37"/>
      <c r="J37"/>
      <c r="K37"/>
      <c r="L37" s="27">
        <f>L15</f>
        <v>649.65529194763985</v>
      </c>
      <c r="M37" s="27">
        <f>M15</f>
        <v>662.06484511011502</v>
      </c>
      <c r="N37" s="27">
        <f>N15</f>
        <v>681.35738411626141</v>
      </c>
      <c r="O37" s="27">
        <f>O15</f>
        <v>712.76436667905784</v>
      </c>
      <c r="P37" s="27">
        <f>P15</f>
        <v>736.36198423370547</v>
      </c>
      <c r="Q37" s="27"/>
      <c r="R37" s="27"/>
      <c r="S37" s="27"/>
      <c r="T37" s="27"/>
      <c r="U37" s="27"/>
      <c r="V37" s="15"/>
    </row>
    <row r="38" spans="1:22" s="3" customFormat="1" ht="13">
      <c r="D38" s="16" t="s">
        <v>81</v>
      </c>
      <c r="E38" s="17" t="s">
        <v>165</v>
      </c>
      <c r="F38" s="32" t="s">
        <v>96</v>
      </c>
      <c r="G38" s="15"/>
      <c r="H38" s="15"/>
      <c r="I38" s="15"/>
      <c r="J38" s="15"/>
      <c r="K38" s="15"/>
      <c r="L38" s="130">
        <f>AllRev.Outturn.Waste+RCM.BlindYear.Adj.Waste+AMP6.FI.Adj.Waste+L34+L35+L36</f>
        <v>649.65529194763985</v>
      </c>
      <c r="M38" s="130">
        <f>AllRev.Outturn.Waste+RCM.BlindYear.Adj.Waste+AMP6.FI.Adj.Waste+M34+M35+M36</f>
        <v>662.06484511011502</v>
      </c>
      <c r="N38" s="130">
        <f>AllRev.Outturn.Waste+RCM.BlindYear.Adj.Waste+AMP6.FI.Adj.Waste+N34+N35+N36</f>
        <v>681.4385037316722</v>
      </c>
      <c r="O38" s="130">
        <f>AllRev.Outturn.Waste+RCM.BlindYear.Adj.Waste+AMP6.FI.Adj.Waste+O34+O35+O36</f>
        <v>709.76834280646528</v>
      </c>
      <c r="P38" s="130">
        <f>AllRev.Outturn.Waste+RCM.BlindYear.Adj.Waste+AMP6.FI.Adj.Waste+P34+P35+P36</f>
        <v>737.54506942213311</v>
      </c>
      <c r="Q38" s="27"/>
      <c r="R38" s="27"/>
      <c r="S38" s="27"/>
      <c r="T38" s="27"/>
      <c r="U38" s="27"/>
      <c r="V38" s="12" t="s">
        <v>207</v>
      </c>
    </row>
    <row r="39" spans="1:22" s="3" customFormat="1" ht="13">
      <c r="D39" s="16" t="s">
        <v>81</v>
      </c>
      <c r="E39" s="17" t="s">
        <v>167</v>
      </c>
      <c r="F39" s="32" t="s">
        <v>96</v>
      </c>
      <c r="G39"/>
      <c r="H39"/>
      <c r="I39"/>
      <c r="J39"/>
      <c r="K39"/>
      <c r="L39" s="27">
        <f>IF($G33=TRUE,L38,MIN(L37:L38))</f>
        <v>649.65529194763985</v>
      </c>
      <c r="M39" s="27">
        <f t="shared" ref="M39:P39" si="7">IF($G33=TRUE,M38,MIN(M37:M38))</f>
        <v>662.06484511011502</v>
      </c>
      <c r="N39" s="27">
        <f t="shared" si="7"/>
        <v>681.4385037316722</v>
      </c>
      <c r="O39" s="27">
        <f t="shared" si="7"/>
        <v>709.76834280646528</v>
      </c>
      <c r="P39" s="27">
        <f t="shared" si="7"/>
        <v>737.54506942213311</v>
      </c>
      <c r="Q39" s="27"/>
      <c r="R39" s="27"/>
      <c r="S39" s="18"/>
      <c r="T39" s="18"/>
      <c r="U39" s="18"/>
      <c r="V39" s="12" t="s">
        <v>208</v>
      </c>
    </row>
    <row r="40" spans="1:22" s="3" customFormat="1">
      <c r="D40" s="16"/>
      <c r="E40" s="17"/>
      <c r="F40" s="32"/>
      <c r="G40" s="15"/>
      <c r="H40" s="15"/>
      <c r="I40" s="15"/>
      <c r="J40" s="15"/>
      <c r="K40" s="15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15"/>
    </row>
    <row r="41" spans="1:22" s="3" customFormat="1" ht="13">
      <c r="A41" s="15"/>
      <c r="B41" s="15"/>
      <c r="C41" s="15"/>
      <c r="D41" s="16" t="s">
        <v>81</v>
      </c>
      <c r="E41" s="17" t="s">
        <v>169</v>
      </c>
      <c r="F41" s="32" t="s">
        <v>96</v>
      </c>
      <c r="G41" s="15"/>
      <c r="H41" s="15"/>
      <c r="I41" s="15"/>
      <c r="J41" s="15"/>
      <c r="K41" s="15"/>
      <c r="L41" s="27">
        <f>RecRev.Waste</f>
        <v>645.88018971435622</v>
      </c>
      <c r="M41" s="27">
        <f>RecRev.Waste</f>
        <v>661.18369731194866</v>
      </c>
      <c r="N41" s="27">
        <f>RecRev.Waste</f>
        <v>684.12699999999995</v>
      </c>
      <c r="O41" s="27">
        <f>RecRev.Waste</f>
        <v>714.39499999999998</v>
      </c>
      <c r="P41" s="27">
        <f>RecRev.Waste</f>
        <v>737.60699999999997</v>
      </c>
      <c r="Q41" s="27"/>
      <c r="R41" s="27"/>
      <c r="S41" s="27"/>
      <c r="T41" s="27"/>
      <c r="U41" s="27"/>
      <c r="V41" s="12"/>
    </row>
    <row r="42" spans="1:22" s="3" customFormat="1">
      <c r="A42" s="15"/>
      <c r="B42" s="15"/>
      <c r="C42" s="15"/>
      <c r="D42" s="16"/>
      <c r="E42" s="17"/>
      <c r="F42" s="32"/>
      <c r="G42" s="15"/>
      <c r="H42" s="15"/>
      <c r="I42" s="15"/>
      <c r="J42" s="15"/>
      <c r="K42" s="15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15"/>
    </row>
    <row r="43" spans="1:22" s="3" customFormat="1">
      <c r="A43" s="15"/>
      <c r="B43" s="15"/>
      <c r="C43" s="15"/>
      <c r="D43" s="16" t="s">
        <v>81</v>
      </c>
      <c r="E43" s="17" t="s">
        <v>170</v>
      </c>
      <c r="F43" s="32" t="s">
        <v>96</v>
      </c>
      <c r="G43" s="15"/>
      <c r="H43" s="15"/>
      <c r="I43" s="15"/>
      <c r="J43" s="15"/>
      <c r="K43" s="15"/>
      <c r="L43" s="27">
        <f t="shared" ref="L43:M43" si="8">L41-L38</f>
        <v>-3.7751022332836328</v>
      </c>
      <c r="M43" s="27">
        <f t="shared" si="8"/>
        <v>-0.88114779816635291</v>
      </c>
      <c r="N43" s="27">
        <f>N41-N38</f>
        <v>2.6884962683277536</v>
      </c>
      <c r="O43" s="27">
        <f t="shared" ref="O43:P43" si="9">O41-O38</f>
        <v>4.6266571935346974</v>
      </c>
      <c r="P43" s="27">
        <f t="shared" si="9"/>
        <v>6.1930577866860403E-2</v>
      </c>
      <c r="Q43" s="27"/>
      <c r="R43" s="27"/>
      <c r="S43" s="27"/>
      <c r="T43" s="27"/>
      <c r="U43" s="27"/>
      <c r="V43" s="15"/>
    </row>
    <row r="44" spans="1:22" s="3" customFormat="1" ht="13">
      <c r="A44" s="15"/>
      <c r="B44" s="15"/>
      <c r="C44" s="15"/>
      <c r="D44" s="16" t="s">
        <v>68</v>
      </c>
      <c r="E44" s="17" t="s">
        <v>171</v>
      </c>
      <c r="F44" s="32"/>
      <c r="G44" s="15"/>
      <c r="H44" s="15"/>
      <c r="I44" s="15"/>
      <c r="J44" s="15"/>
      <c r="K44" s="15"/>
      <c r="L44" s="117">
        <f>IF(L38=0,0,L43/L38)</f>
        <v>-5.8109312431921115E-3</v>
      </c>
      <c r="M44" s="117">
        <f t="shared" ref="M44:P44" si="10">IF(M38=0,0,M43/M38)</f>
        <v>-1.3309086030988398E-3</v>
      </c>
      <c r="N44" s="117">
        <f t="shared" si="10"/>
        <v>3.9453248585236888E-3</v>
      </c>
      <c r="O44" s="117">
        <f t="shared" si="10"/>
        <v>6.5185454386999372E-3</v>
      </c>
      <c r="P44" s="117">
        <f t="shared" si="10"/>
        <v>8.3968533496377439E-5</v>
      </c>
      <c r="Q44" s="27"/>
      <c r="R44" s="27"/>
      <c r="S44" s="27"/>
      <c r="T44" s="27"/>
      <c r="U44" s="27"/>
      <c r="V44" s="12" t="s">
        <v>209</v>
      </c>
    </row>
    <row r="45" spans="1:22" ht="13">
      <c r="A45" s="15"/>
      <c r="B45" s="15"/>
      <c r="C45" s="15"/>
      <c r="D45" s="16"/>
      <c r="E45" s="17"/>
      <c r="F45" s="34"/>
      <c r="K45" s="15"/>
      <c r="L45" s="117"/>
      <c r="M45" s="117"/>
      <c r="N45" s="117"/>
      <c r="O45" s="117"/>
      <c r="P45" s="117"/>
      <c r="Q45" s="27"/>
      <c r="R45" s="27"/>
      <c r="S45" s="27"/>
      <c r="T45" s="27"/>
      <c r="U45" s="27"/>
      <c r="V45" s="12"/>
    </row>
    <row r="46" spans="1:22" ht="13">
      <c r="A46" s="15"/>
      <c r="B46" s="15"/>
      <c r="C46" s="15"/>
      <c r="D46" s="16"/>
      <c r="E46" s="28" t="s">
        <v>173</v>
      </c>
      <c r="F46" s="34"/>
      <c r="K46" s="15"/>
      <c r="L46" s="117"/>
      <c r="M46" s="117"/>
      <c r="N46" s="117"/>
      <c r="O46" s="117"/>
      <c r="P46" s="117"/>
      <c r="Q46" s="27"/>
      <c r="R46" s="27"/>
      <c r="S46" s="27"/>
      <c r="T46" s="27"/>
      <c r="U46" s="27"/>
      <c r="V46" s="12"/>
    </row>
    <row r="47" spans="1:22" ht="13">
      <c r="A47" s="15"/>
      <c r="B47" s="15"/>
      <c r="C47" s="15"/>
      <c r="D47" s="16" t="s">
        <v>81</v>
      </c>
      <c r="E47" s="17" t="s">
        <v>174</v>
      </c>
      <c r="F47" s="32" t="s">
        <v>96</v>
      </c>
      <c r="J47" s="23">
        <v>0</v>
      </c>
      <c r="K47" s="23">
        <v>0</v>
      </c>
      <c r="L47" s="27">
        <f>0-L43*(1+Discount.Rate)*(1+Discount.Rate)</f>
        <v>4.0518021265743904</v>
      </c>
      <c r="M47" s="27">
        <f>0-M43*(1+Discount.Rate)*(1+Discount.Rate)</f>
        <v>0.94573240718075391</v>
      </c>
      <c r="N47" s="27">
        <f>0-N43*(1+Discount.Rate)*(1+Discount.Rate)</f>
        <v>-2.8855522908111046</v>
      </c>
      <c r="O47" s="23"/>
      <c r="P47" s="23"/>
      <c r="Q47" s="27"/>
      <c r="R47" s="27"/>
      <c r="S47" s="27"/>
      <c r="T47" s="27"/>
      <c r="U47" s="27"/>
      <c r="V47" s="12"/>
    </row>
    <row r="48" spans="1:22">
      <c r="A48" s="15"/>
      <c r="B48" s="15"/>
      <c r="C48" s="15"/>
      <c r="D48" s="16" t="s">
        <v>81</v>
      </c>
      <c r="E48" s="17" t="s">
        <v>175</v>
      </c>
      <c r="F48" s="32" t="s">
        <v>176</v>
      </c>
      <c r="J48" s="95">
        <v>0</v>
      </c>
      <c r="K48" s="23">
        <v>0</v>
      </c>
      <c r="L48" s="27">
        <f>L47*INDEX(Indexation.November.Actual.YearOnYear,,MATCH(M$5,Calendar.Years,0))*(INDEX(Indexation.November.Actual.YearOnYear,,MATCH(N$5,Calendar.Years,0)))</f>
        <v>4.1841830595313132</v>
      </c>
      <c r="M48" s="27">
        <f>M47*INDEX(Indexation.November.Actual.YearOnYear,,MATCH(N$5,Calendar.Years,0))*(INDEX(Indexation.November.Actual.YearOnYear,,MATCH(O$5,Calendar.Years,0)))</f>
        <v>1.0039761274074361</v>
      </c>
      <c r="N48" s="27">
        <f>N47*INDEX(Indexation.November.Actual.YearOnYear,,MATCH(O$5,Calendar.Years,0))*(INDEX(Indexation.November.Actual.YearOnYear,,MATCH(P$5,Calendar.Years,0)))</f>
        <v>-3.0931381618261407</v>
      </c>
      <c r="O48" s="23"/>
      <c r="P48" s="23"/>
    </row>
    <row r="49" spans="1:21">
      <c r="A49" s="15"/>
      <c r="B49" s="15"/>
      <c r="C49" s="15"/>
      <c r="D49" s="16" t="s">
        <v>81</v>
      </c>
      <c r="E49" s="17" t="s">
        <v>177</v>
      </c>
      <c r="F49" s="32" t="s">
        <v>96</v>
      </c>
      <c r="J49" s="23"/>
      <c r="K49" s="23"/>
      <c r="L49" s="23"/>
      <c r="M49" s="23"/>
      <c r="N49" s="27">
        <f>L48</f>
        <v>4.1841830595313132</v>
      </c>
      <c r="O49" s="27">
        <f>M48</f>
        <v>1.0039761274074361</v>
      </c>
      <c r="P49" s="27">
        <f>N48</f>
        <v>-3.0931381618261407</v>
      </c>
    </row>
    <row r="50" spans="1:21" ht="13">
      <c r="A50" s="15"/>
      <c r="B50" s="15"/>
      <c r="C50" s="15"/>
      <c r="D50" s="16"/>
      <c r="E50" s="19"/>
      <c r="F50" s="32"/>
    </row>
    <row r="51" spans="1:21" ht="13">
      <c r="A51" s="15"/>
      <c r="B51" s="15"/>
      <c r="C51" s="15"/>
      <c r="D51" s="16"/>
      <c r="E51" s="28" t="s">
        <v>178</v>
      </c>
      <c r="F51" s="32"/>
    </row>
    <row r="52" spans="1:21">
      <c r="A52" s="15"/>
      <c r="B52" s="15"/>
      <c r="C52" s="15"/>
      <c r="D52" s="16" t="s">
        <v>68</v>
      </c>
      <c r="E52" s="17" t="s">
        <v>179</v>
      </c>
      <c r="F52" s="32"/>
      <c r="L52" s="117">
        <f>IF(L39=0,0,ABS((L41-L39)/L39))</f>
        <v>5.8109312431921115E-3</v>
      </c>
      <c r="M52" s="117">
        <f t="shared" ref="M52:P52" si="11">IF(M39=0,0,ABS((M41-M39)/M39))</f>
        <v>1.3309086030988398E-3</v>
      </c>
      <c r="N52" s="117">
        <f t="shared" si="11"/>
        <v>3.9453248585236888E-3</v>
      </c>
      <c r="O52" s="117">
        <f t="shared" si="11"/>
        <v>6.5185454386999372E-3</v>
      </c>
      <c r="P52" s="117">
        <f t="shared" si="11"/>
        <v>8.3968533496377439E-5</v>
      </c>
    </row>
    <row r="53" spans="1:21">
      <c r="A53" s="15"/>
      <c r="B53" s="15"/>
      <c r="C53" s="15"/>
      <c r="D53" s="21" t="s">
        <v>180</v>
      </c>
      <c r="E53" s="17" t="s">
        <v>181</v>
      </c>
      <c r="F53" s="32"/>
      <c r="G53" s="15"/>
      <c r="H53" s="15"/>
      <c r="I53" s="15"/>
      <c r="J53" s="15"/>
      <c r="K53" s="15"/>
      <c r="L53" s="118" t="b">
        <f>L52&gt;Threshold.Min</f>
        <v>0</v>
      </c>
      <c r="M53" s="118" t="b">
        <f>M52&gt;Threshold.Min</f>
        <v>0</v>
      </c>
      <c r="N53" s="118" t="b">
        <f>N52&gt;Threshold.Min</f>
        <v>0</v>
      </c>
      <c r="O53" s="118" t="b">
        <f>O52&gt;Threshold.Min</f>
        <v>0</v>
      </c>
      <c r="P53" s="118" t="b">
        <f>P52&gt;Threshold.Min</f>
        <v>0</v>
      </c>
      <c r="Q53" s="27"/>
      <c r="R53" s="27"/>
      <c r="S53" s="27"/>
      <c r="T53" s="27"/>
      <c r="U53" s="27"/>
    </row>
    <row r="54" spans="1:21">
      <c r="A54" s="15"/>
      <c r="B54" s="15"/>
      <c r="C54" s="15"/>
      <c r="D54" s="16" t="s">
        <v>68</v>
      </c>
      <c r="E54" s="17" t="s">
        <v>182</v>
      </c>
      <c r="F54" s="34"/>
      <c r="K54" s="15"/>
      <c r="L54" s="117">
        <f>L53*Penalty.Rate.General*MIN(1,(L52-Threshold.Min)/(Threshold.Max-Threshold.Min))</f>
        <v>0</v>
      </c>
      <c r="M54" s="117">
        <f>M53*Penalty.Rate.General*MIN(1,(M52-Threshold.Min)/(Threshold.Max-Threshold.Min))</f>
        <v>0</v>
      </c>
      <c r="N54" s="117">
        <f>N53*Penalty.Rate.General*MIN(1,(N52-Threshold.Min)/(Threshold.Max-Threshold.Min))</f>
        <v>0</v>
      </c>
      <c r="O54" s="117">
        <f>O53*Penalty.Rate.General*MIN(1,(O52-Threshold.Min)/(Threshold.Max-Threshold.Min))</f>
        <v>0</v>
      </c>
      <c r="P54" s="117">
        <f>P53*Penalty.Rate.General*MIN(1,(P52-Threshold.Min)/(Threshold.Max-Threshold.Min))</f>
        <v>0</v>
      </c>
      <c r="Q54" s="27"/>
      <c r="R54" s="27"/>
      <c r="S54" s="27"/>
      <c r="T54" s="27"/>
      <c r="U54" s="27"/>
    </row>
    <row r="55" spans="1:21" ht="13">
      <c r="A55" s="15"/>
      <c r="B55" s="15"/>
      <c r="C55" s="15"/>
      <c r="D55" s="16"/>
      <c r="E55" s="28"/>
      <c r="F55" s="32"/>
    </row>
    <row r="56" spans="1:21">
      <c r="A56" s="15"/>
      <c r="B56" s="15"/>
      <c r="C56" s="15"/>
      <c r="D56" s="16" t="s">
        <v>81</v>
      </c>
      <c r="E56" s="17" t="s">
        <v>183</v>
      </c>
      <c r="F56" s="32" t="s">
        <v>96</v>
      </c>
      <c r="J56" s="23"/>
      <c r="K56" s="23"/>
      <c r="L56" s="27">
        <f>0-L54*ABS(L41-L39)</f>
        <v>0</v>
      </c>
      <c r="M56" s="27">
        <f>0-M54*ABS(M41-M39)</f>
        <v>0</v>
      </c>
      <c r="N56" s="27">
        <f>0-N54*ABS(N41-N39)</f>
        <v>0</v>
      </c>
      <c r="O56" s="27">
        <f t="shared" ref="O56:P56" si="12">0-O54*ABS(O41-O39)</f>
        <v>0</v>
      </c>
      <c r="P56" s="27">
        <f t="shared" si="12"/>
        <v>0</v>
      </c>
    </row>
    <row r="57" spans="1:21">
      <c r="A57" s="15"/>
      <c r="B57" s="15"/>
      <c r="C57" s="15"/>
      <c r="D57" s="16" t="s">
        <v>81</v>
      </c>
      <c r="E57" s="17" t="s">
        <v>184</v>
      </c>
      <c r="F57" s="32" t="s">
        <v>96</v>
      </c>
      <c r="J57" s="95"/>
      <c r="K57" s="23"/>
      <c r="L57" s="27">
        <f>L56*(1+Discount.Rate)</f>
        <v>0</v>
      </c>
      <c r="M57" s="27">
        <f>M56*(1+Discount.Rate)</f>
        <v>0</v>
      </c>
      <c r="N57" s="27">
        <f>N56*(1+Discount.Rate)</f>
        <v>0</v>
      </c>
      <c r="O57" s="23"/>
      <c r="P57" s="23"/>
    </row>
    <row r="58" spans="1:21">
      <c r="A58" s="15"/>
      <c r="B58" s="15"/>
      <c r="C58" s="15"/>
      <c r="D58" s="16" t="s">
        <v>81</v>
      </c>
      <c r="E58" s="17" t="s">
        <v>185</v>
      </c>
      <c r="F58" s="32" t="s">
        <v>96</v>
      </c>
      <c r="J58" s="23"/>
      <c r="K58" s="23"/>
      <c r="L58" s="27">
        <f>L57*INDEX(Indexation.November.Actual.YearOnYear,,MATCH(M$5,Calendar.Years,0))*(INDEX(Indexation.November.Actual.YearOnYear,,MATCH(N$5,Calendar.Years,0)))</f>
        <v>0</v>
      </c>
      <c r="M58" s="27">
        <f>M57*INDEX(Indexation.November.Actual.YearOnYear,,MATCH(N$5,Calendar.Years,0))*(INDEX(Indexation.November.Actual.YearOnYear,,MATCH(O$5,Calendar.Years,0)))</f>
        <v>0</v>
      </c>
      <c r="N58" s="27">
        <f>N57*INDEX(Indexation.November.Actual.YearOnYear,,MATCH(O$5,Calendar.Years,0))*(INDEX(Indexation.November.Actual.YearOnYear,,MATCH(P$5,Calendar.Years,0)))</f>
        <v>0</v>
      </c>
      <c r="O58" s="23"/>
      <c r="P58" s="23"/>
    </row>
    <row r="59" spans="1:21">
      <c r="A59" s="15"/>
      <c r="B59" s="15"/>
      <c r="C59" s="15"/>
      <c r="D59" s="16" t="s">
        <v>81</v>
      </c>
      <c r="E59" s="17" t="s">
        <v>186</v>
      </c>
      <c r="F59" s="32" t="s">
        <v>96</v>
      </c>
      <c r="J59" s="23"/>
      <c r="K59" s="23"/>
      <c r="L59" s="23"/>
      <c r="M59" s="23"/>
      <c r="N59" s="27">
        <f>L58</f>
        <v>0</v>
      </c>
      <c r="O59" s="27">
        <f>M58</f>
        <v>0</v>
      </c>
      <c r="P59" s="27">
        <f>N58</f>
        <v>0</v>
      </c>
    </row>
    <row r="60" spans="1:21">
      <c r="A60" s="15"/>
      <c r="B60" s="15"/>
      <c r="C60" s="15"/>
    </row>
    <row r="61" spans="1:21" ht="13">
      <c r="A61" s="15"/>
      <c r="B61" s="15"/>
      <c r="C61" s="15"/>
      <c r="E61" s="28" t="s">
        <v>187</v>
      </c>
    </row>
    <row r="62" spans="1:21">
      <c r="A62" s="15"/>
      <c r="B62" s="15"/>
      <c r="C62" s="15"/>
      <c r="D62" s="16" t="s">
        <v>81</v>
      </c>
      <c r="E62" s="17" t="s">
        <v>177</v>
      </c>
      <c r="F62" s="32" t="s">
        <v>96</v>
      </c>
      <c r="L62" s="23"/>
      <c r="M62" s="23"/>
      <c r="N62" s="27">
        <f>N49</f>
        <v>4.1841830595313132</v>
      </c>
      <c r="O62" s="27">
        <f>O49</f>
        <v>1.0039761274074361</v>
      </c>
      <c r="P62" s="27">
        <f>P49</f>
        <v>-3.0931381618261407</v>
      </c>
    </row>
    <row r="63" spans="1:21">
      <c r="A63" s="15"/>
      <c r="B63" s="15"/>
      <c r="C63" s="15"/>
      <c r="D63" s="16" t="s">
        <v>81</v>
      </c>
      <c r="E63" s="17" t="s">
        <v>186</v>
      </c>
      <c r="F63" s="32" t="s">
        <v>96</v>
      </c>
      <c r="L63" s="23"/>
      <c r="M63" s="23"/>
      <c r="N63" s="27">
        <f>N59</f>
        <v>0</v>
      </c>
      <c r="O63" s="27">
        <f>O59</f>
        <v>0</v>
      </c>
      <c r="P63" s="27">
        <f>P59</f>
        <v>0</v>
      </c>
    </row>
    <row r="64" spans="1:21">
      <c r="A64" s="15"/>
      <c r="B64" s="15"/>
      <c r="C64" s="15"/>
      <c r="D64" s="16" t="s">
        <v>81</v>
      </c>
      <c r="E64" s="17" t="s">
        <v>188</v>
      </c>
      <c r="F64" s="32" t="s">
        <v>96</v>
      </c>
      <c r="K64" s="15"/>
      <c r="L64" s="23"/>
      <c r="M64" s="23"/>
      <c r="N64" s="27">
        <f>SUM(N62:N63)</f>
        <v>4.1841830595313132</v>
      </c>
      <c r="O64" s="27">
        <f>SUM(O62:O63)</f>
        <v>1.0039761274074361</v>
      </c>
      <c r="P64" s="27">
        <f>SUM(P62:P63)</f>
        <v>-3.0931381618261407</v>
      </c>
    </row>
    <row r="65" spans="1:23">
      <c r="A65" s="15"/>
      <c r="B65" s="15"/>
      <c r="C65" s="15"/>
      <c r="F65" s="34"/>
      <c r="K65" s="15"/>
    </row>
    <row r="66" spans="1:23">
      <c r="E66" s="32" t="s">
        <v>189</v>
      </c>
      <c r="F66" s="34"/>
      <c r="K66" s="15"/>
    </row>
    <row r="67" spans="1:23">
      <c r="D67" s="21" t="s">
        <v>180</v>
      </c>
      <c r="E67" s="17" t="s">
        <v>190</v>
      </c>
      <c r="F67" s="34"/>
      <c r="K67" s="15"/>
      <c r="L67" s="118" t="b">
        <f>ABS(Perc.Recovered.Waste)&gt;Additional.Analysis</f>
        <v>0</v>
      </c>
      <c r="M67" s="118" t="b">
        <f>ABS(Perc.Recovered.Waste)&gt;Additional.Analysis</f>
        <v>0</v>
      </c>
      <c r="N67" s="118" t="b">
        <f>ABS(Perc.Recovered.Waste)&gt;Additional.Analysis</f>
        <v>0</v>
      </c>
      <c r="O67" s="118" t="b">
        <f>ABS(Perc.Recovered.Waste)&gt;Additional.Analysis</f>
        <v>0</v>
      </c>
      <c r="P67" s="118" t="b">
        <f>ABS(Perc.Recovered.Waste)&gt;Additional.Analysis</f>
        <v>0</v>
      </c>
    </row>
    <row r="68" spans="1:23">
      <c r="D68" s="21"/>
      <c r="E68" s="17"/>
      <c r="F68" s="34"/>
    </row>
    <row r="69" spans="1:23" s="7" customFormat="1" ht="14">
      <c r="A69" s="111"/>
      <c r="B69" s="8"/>
      <c r="C69" s="8"/>
      <c r="D69" s="115"/>
      <c r="E69" s="112" t="s">
        <v>191</v>
      </c>
      <c r="F69" s="113"/>
      <c r="G69" s="24"/>
      <c r="H69" s="24"/>
      <c r="I69" s="24"/>
      <c r="J69" s="24"/>
      <c r="K69" s="24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4"/>
      <c r="W69" s="24"/>
    </row>
    <row r="70" spans="1:23">
      <c r="E70" s="17"/>
      <c r="F70" s="34"/>
    </row>
    <row r="71" spans="1:23">
      <c r="E71" s="32" t="s">
        <v>192</v>
      </c>
      <c r="F71" s="34"/>
    </row>
    <row r="72" spans="1:23">
      <c r="D72" s="16" t="s">
        <v>81</v>
      </c>
      <c r="E72" s="17" t="s">
        <v>193</v>
      </c>
      <c r="F72" s="32" t="s">
        <v>96</v>
      </c>
      <c r="L72" s="23"/>
      <c r="M72" s="23"/>
      <c r="N72" s="23"/>
      <c r="O72" s="23"/>
      <c r="P72" s="27">
        <f>0-O43*(1+Discount.Rate)*Indexation.November.Actual.YearOnYear</f>
        <v>-4.9461548811532055</v>
      </c>
    </row>
    <row r="73" spans="1:23">
      <c r="D73" s="16" t="s">
        <v>81</v>
      </c>
      <c r="E73" s="17" t="s">
        <v>194</v>
      </c>
      <c r="F73" s="32" t="s">
        <v>96</v>
      </c>
      <c r="L73" s="23"/>
      <c r="M73" s="23"/>
      <c r="N73" s="23"/>
      <c r="O73" s="23"/>
      <c r="P73" s="27">
        <f>O56*Indexation.November.Actual.YearOnYear</f>
        <v>0</v>
      </c>
    </row>
    <row r="74" spans="1:23">
      <c r="D74" s="16" t="s">
        <v>81</v>
      </c>
      <c r="E74" s="17" t="s">
        <v>195</v>
      </c>
      <c r="F74" s="32" t="s">
        <v>96</v>
      </c>
      <c r="L74" s="23"/>
      <c r="M74" s="23"/>
      <c r="N74" s="23"/>
      <c r="O74" s="23"/>
      <c r="P74" s="27">
        <f>SUM(P72:P73)</f>
        <v>-4.9461548811532055</v>
      </c>
    </row>
    <row r="75" spans="1:23">
      <c r="F75" s="34"/>
    </row>
    <row r="76" spans="1:23">
      <c r="E76" s="32" t="s">
        <v>196</v>
      </c>
      <c r="F76" s="34"/>
    </row>
    <row r="77" spans="1:23">
      <c r="D77" s="16" t="s">
        <v>81</v>
      </c>
      <c r="E77" s="17" t="s">
        <v>197</v>
      </c>
      <c r="F77" s="32" t="s">
        <v>96</v>
      </c>
      <c r="L77" s="23"/>
      <c r="M77" s="23"/>
      <c r="N77" s="23"/>
      <c r="O77" s="23"/>
      <c r="P77" s="27">
        <f>0-P43</f>
        <v>-6.1930577866860403E-2</v>
      </c>
    </row>
    <row r="78" spans="1:23">
      <c r="D78" s="16" t="s">
        <v>81</v>
      </c>
      <c r="E78" s="17" t="s">
        <v>198</v>
      </c>
      <c r="F78" s="32" t="s">
        <v>96</v>
      </c>
      <c r="L78" s="23"/>
      <c r="M78" s="23"/>
      <c r="N78" s="23"/>
      <c r="O78" s="23"/>
      <c r="P78" s="27">
        <f>P56</f>
        <v>0</v>
      </c>
    </row>
    <row r="79" spans="1:23">
      <c r="D79" s="16" t="s">
        <v>81</v>
      </c>
      <c r="E79" s="17" t="s">
        <v>199</v>
      </c>
      <c r="F79" s="32" t="s">
        <v>96</v>
      </c>
      <c r="L79" s="23"/>
      <c r="M79" s="23"/>
      <c r="N79" s="23"/>
      <c r="O79" s="23"/>
      <c r="P79" s="27">
        <f>SUM(P77:P78)</f>
        <v>-6.1930577866860403E-2</v>
      </c>
    </row>
    <row r="80" spans="1:23">
      <c r="E80" s="17"/>
      <c r="F80" s="34"/>
    </row>
    <row r="81" spans="1:23">
      <c r="E81" s="32" t="s">
        <v>245</v>
      </c>
      <c r="F81" s="34"/>
    </row>
    <row r="82" spans="1:23">
      <c r="D82" s="16" t="s">
        <v>81</v>
      </c>
      <c r="E82" s="135" t="str">
        <f>E28</f>
        <v>AMP5 RCM adjustment to be applied at PR19 (Outturn price base)</v>
      </c>
      <c r="F82" s="32" t="s">
        <v>96</v>
      </c>
      <c r="L82" s="23"/>
      <c r="M82" s="23"/>
      <c r="N82" s="23"/>
      <c r="O82" s="23"/>
      <c r="P82" s="136">
        <f>P28</f>
        <v>0</v>
      </c>
    </row>
    <row r="83" spans="1:23">
      <c r="E83" s="17"/>
      <c r="F83" s="34"/>
    </row>
    <row r="84" spans="1:23" ht="13">
      <c r="D84" s="16" t="s">
        <v>81</v>
      </c>
      <c r="E84" s="28" t="s">
        <v>200</v>
      </c>
      <c r="F84" s="32" t="s">
        <v>96</v>
      </c>
      <c r="L84" s="23"/>
      <c r="M84" s="23"/>
      <c r="N84" s="23"/>
      <c r="O84" s="23"/>
      <c r="P84" s="136">
        <f>SUM(P74,P79,P82)</f>
        <v>-5.0080854590200659</v>
      </c>
      <c r="Q84" s="12" t="s">
        <v>210</v>
      </c>
    </row>
    <row r="85" spans="1:23" ht="13" thickBot="1">
      <c r="E85" s="20"/>
      <c r="F85" s="34"/>
    </row>
    <row r="86" spans="1:23" ht="13.5" thickBot="1">
      <c r="A86" s="10" t="s">
        <v>111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</row>
    <row r="87" spans="1:23"/>
    <row r="162"/>
    <row r="163"/>
    <row r="164"/>
  </sheetData>
  <conditionalFormatting sqref="L53:P53">
    <cfRule type="cellIs" dxfId="1" priority="1" operator="equal">
      <formula>TRUE</formula>
    </cfRule>
  </conditionalFormatting>
  <conditionalFormatting sqref="L67:P67">
    <cfRule type="cellIs" dxfId="0" priority="2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customWidth="1"/>
    <col min="3" max="3" width="8" hidden="1" customWidth="1"/>
    <col min="4" max="4" width="9.1796875" hidden="1" customWidth="1"/>
    <col min="5" max="5" width="27" hidden="1" customWidth="1"/>
    <col min="6" max="8" width="9.1796875" hidden="1" customWidth="1"/>
    <col min="9" max="24" width="10.81640625" hidden="1" customWidth="1"/>
    <col min="25" max="16384" width="9.1796875" hidden="1"/>
  </cols>
  <sheetData>
    <row r="1" spans="1:24" ht="15.75" customHeight="1">
      <c r="A1" s="29"/>
    </row>
    <row r="2" spans="1:24" ht="14">
      <c r="A2" s="30"/>
      <c r="B2" s="30"/>
      <c r="C2" s="30"/>
      <c r="D2" s="2"/>
      <c r="E2" s="2"/>
      <c r="F2" s="15"/>
      <c r="G2" s="15"/>
      <c r="H2" s="2"/>
      <c r="I2" s="2"/>
      <c r="J2" s="2"/>
      <c r="K2" s="2"/>
      <c r="L2" s="2"/>
      <c r="M2" s="2"/>
      <c r="N2" s="2"/>
      <c r="O2" s="15"/>
      <c r="P2" s="15"/>
      <c r="Q2" s="2"/>
      <c r="R2" s="2"/>
      <c r="S2" s="2"/>
      <c r="T2" s="2"/>
      <c r="U2" s="2"/>
      <c r="V2" s="2"/>
      <c r="W2" s="2"/>
      <c r="X2" s="2"/>
    </row>
    <row r="3" spans="1:24" ht="14" hidden="1">
      <c r="A3" s="30"/>
      <c r="B3" s="30"/>
      <c r="C3" s="30"/>
      <c r="D3" s="2"/>
      <c r="E3" s="2"/>
      <c r="F3" s="15"/>
      <c r="G3" s="15"/>
      <c r="H3" s="2"/>
      <c r="I3" s="2"/>
      <c r="J3" s="2"/>
      <c r="K3" s="2"/>
      <c r="L3" s="2"/>
      <c r="M3" s="2"/>
      <c r="N3" s="2"/>
      <c r="O3" s="15"/>
      <c r="P3" s="15"/>
      <c r="Q3" s="2"/>
      <c r="R3" s="2"/>
      <c r="S3" s="2"/>
      <c r="T3" s="2"/>
      <c r="U3" s="2"/>
      <c r="V3" s="2"/>
      <c r="W3" s="2"/>
      <c r="X3" s="2"/>
    </row>
    <row r="4" spans="1:24" ht="14" hidden="1">
      <c r="A4" s="30"/>
      <c r="B4" s="30"/>
      <c r="C4" s="30"/>
      <c r="D4" s="2"/>
      <c r="E4" s="2"/>
      <c r="F4" s="15"/>
      <c r="G4" s="15"/>
      <c r="H4" s="2"/>
      <c r="I4" s="2"/>
      <c r="J4" s="2"/>
      <c r="K4" s="2"/>
      <c r="L4" s="2"/>
      <c r="M4" s="2"/>
      <c r="N4" s="2"/>
      <c r="O4" s="15"/>
      <c r="P4" s="15"/>
      <c r="Q4" s="2"/>
      <c r="R4" s="2"/>
      <c r="S4" s="2"/>
      <c r="T4" s="2"/>
      <c r="U4" s="2"/>
      <c r="V4" s="2"/>
      <c r="W4" s="2"/>
      <c r="X4" s="2"/>
    </row>
    <row r="5" spans="1:24" ht="14" hidden="1">
      <c r="A5" s="30"/>
      <c r="B5" s="30"/>
      <c r="C5" s="30"/>
      <c r="D5" s="2"/>
      <c r="E5" s="2"/>
      <c r="F5" s="15"/>
      <c r="G5" s="15"/>
      <c r="H5" s="2"/>
      <c r="I5" s="2"/>
      <c r="J5" s="2"/>
      <c r="K5" s="2"/>
      <c r="L5" s="2"/>
      <c r="M5" s="2"/>
      <c r="N5" s="2"/>
      <c r="O5" s="15"/>
      <c r="P5" s="15"/>
      <c r="Q5" s="2"/>
      <c r="R5" s="2"/>
      <c r="S5" s="2"/>
      <c r="T5" s="2"/>
      <c r="U5" s="2"/>
      <c r="V5" s="2"/>
      <c r="W5" s="2"/>
      <c r="X5" s="2"/>
    </row>
    <row r="6" spans="1:24" ht="14" hidden="1">
      <c r="A6" s="30"/>
      <c r="B6" s="30"/>
      <c r="C6" s="30"/>
      <c r="D6" s="2"/>
      <c r="E6" s="2"/>
      <c r="F6" s="15"/>
      <c r="G6" s="15"/>
      <c r="H6" s="2"/>
      <c r="I6" s="2"/>
      <c r="J6" s="2"/>
      <c r="K6" s="2"/>
      <c r="L6" s="2"/>
      <c r="M6" s="2"/>
      <c r="N6" s="2"/>
      <c r="O6" s="15"/>
      <c r="P6" s="15"/>
      <c r="Q6" s="2"/>
      <c r="R6" s="2"/>
      <c r="S6" s="2"/>
      <c r="T6" s="2"/>
      <c r="U6" s="2"/>
      <c r="V6" s="2"/>
      <c r="W6" s="2"/>
      <c r="X6" s="2"/>
    </row>
    <row r="7" spans="1:24" ht="14" hidden="1">
      <c r="A7" s="30"/>
      <c r="B7" s="30"/>
      <c r="C7" s="30"/>
      <c r="D7" s="2"/>
      <c r="E7" s="2"/>
      <c r="F7" s="15"/>
      <c r="G7" s="15"/>
      <c r="H7" s="2"/>
      <c r="I7" s="2"/>
      <c r="J7" s="2"/>
      <c r="K7" s="2"/>
      <c r="L7" s="2"/>
      <c r="M7" s="2"/>
      <c r="N7" s="2"/>
      <c r="O7" s="15"/>
      <c r="P7" s="15"/>
      <c r="Q7" s="2"/>
      <c r="R7" s="2"/>
      <c r="S7" s="2"/>
      <c r="T7" s="2"/>
      <c r="U7" s="2"/>
      <c r="V7" s="2"/>
      <c r="W7" s="2"/>
      <c r="X7" s="2"/>
    </row>
    <row r="8" spans="1:24" ht="14" hidden="1">
      <c r="A8" s="30"/>
      <c r="B8" s="30"/>
      <c r="C8" s="30"/>
      <c r="D8" s="2"/>
      <c r="E8" s="2"/>
      <c r="F8" s="15"/>
      <c r="G8" s="15"/>
      <c r="H8" s="2"/>
      <c r="I8" s="2"/>
      <c r="J8" s="2"/>
      <c r="K8" s="2"/>
      <c r="L8" s="2"/>
      <c r="M8" s="2"/>
      <c r="N8" s="2"/>
      <c r="O8" s="15"/>
      <c r="P8" s="15"/>
      <c r="Q8" s="2"/>
      <c r="R8" s="2"/>
      <c r="S8" s="2"/>
      <c r="T8" s="2"/>
      <c r="U8" s="2"/>
      <c r="V8" s="2"/>
      <c r="W8" s="2"/>
      <c r="X8" s="2"/>
    </row>
    <row r="9" spans="1:24" ht="14" hidden="1">
      <c r="A9" s="30"/>
      <c r="B9" s="30"/>
      <c r="C9" s="30"/>
      <c r="D9" s="2"/>
      <c r="E9" s="2"/>
      <c r="F9" s="15"/>
      <c r="G9" s="15"/>
      <c r="H9" s="2"/>
      <c r="I9" s="2"/>
      <c r="J9" s="2"/>
      <c r="K9" s="2"/>
      <c r="L9" s="2"/>
      <c r="M9" s="2"/>
      <c r="N9" s="2"/>
      <c r="O9" s="15"/>
      <c r="P9" s="15"/>
      <c r="Q9" s="2"/>
      <c r="R9" s="2"/>
      <c r="S9" s="2"/>
      <c r="T9" s="2"/>
      <c r="U9" s="2"/>
      <c r="V9" s="2"/>
      <c r="W9" s="2"/>
      <c r="X9" s="2"/>
    </row>
    <row r="10" spans="1:24" ht="14" hidden="1">
      <c r="A10" s="30"/>
      <c r="B10" s="30"/>
      <c r="C10" s="30"/>
      <c r="D10" s="2"/>
      <c r="E10" s="2"/>
      <c r="F10" s="15"/>
      <c r="G10" s="15"/>
      <c r="H10" s="2"/>
      <c r="I10" s="2"/>
      <c r="J10" s="2"/>
      <c r="K10" s="2"/>
      <c r="L10" s="2"/>
      <c r="M10" s="2"/>
      <c r="N10" s="2"/>
      <c r="O10" s="15"/>
      <c r="P10" s="15"/>
      <c r="Q10" s="2"/>
      <c r="R10" s="2"/>
      <c r="S10" s="2"/>
      <c r="T10" s="2"/>
      <c r="U10" s="2"/>
      <c r="V10" s="2"/>
      <c r="W10" s="2"/>
      <c r="X10" s="2"/>
    </row>
    <row r="11" spans="1:24" ht="14" hidden="1">
      <c r="A11" s="30"/>
      <c r="B11" s="30"/>
      <c r="C11" s="30"/>
      <c r="D11" s="2"/>
      <c r="E11" s="2"/>
      <c r="F11" s="15"/>
      <c r="G11" s="15"/>
      <c r="H11" s="2"/>
      <c r="I11" s="2"/>
      <c r="J11" s="2"/>
      <c r="K11" s="2"/>
      <c r="L11" s="2"/>
      <c r="M11" s="2"/>
      <c r="N11" s="2"/>
      <c r="O11" s="15"/>
      <c r="P11" s="15"/>
      <c r="Q11" s="2"/>
      <c r="R11" s="2"/>
      <c r="S11" s="2"/>
      <c r="T11" s="2"/>
      <c r="U11" s="2"/>
      <c r="V11" s="2"/>
      <c r="W11" s="2"/>
      <c r="X11" s="2"/>
    </row>
    <row r="12" spans="1:24" ht="14" hidden="1">
      <c r="A12" s="30"/>
      <c r="B12" s="30"/>
      <c r="C12" s="30"/>
      <c r="D12" s="2"/>
      <c r="E12" s="2"/>
      <c r="F12" s="15"/>
      <c r="G12" s="15"/>
      <c r="H12" s="2"/>
      <c r="I12" s="2"/>
      <c r="J12" s="2"/>
      <c r="K12" s="2"/>
      <c r="L12" s="2"/>
      <c r="M12" s="2"/>
      <c r="N12" s="2"/>
      <c r="O12" s="15"/>
      <c r="P12" s="15"/>
      <c r="Q12" s="2"/>
      <c r="R12" s="2"/>
      <c r="S12" s="2"/>
      <c r="T12" s="2"/>
      <c r="U12" s="2"/>
      <c r="V12" s="2"/>
      <c r="W12" s="2"/>
      <c r="X12" s="2"/>
    </row>
    <row r="13" spans="1:24" ht="14" hidden="1">
      <c r="A13" s="30"/>
      <c r="B13" s="30"/>
      <c r="C13" s="30"/>
      <c r="D13" s="2"/>
      <c r="E13" s="2"/>
      <c r="F13" s="15"/>
      <c r="G13" s="15"/>
      <c r="H13" s="2"/>
      <c r="I13" s="2"/>
      <c r="J13" s="2"/>
      <c r="K13" s="2"/>
      <c r="L13" s="2"/>
      <c r="M13" s="2"/>
      <c r="N13" s="2"/>
      <c r="O13" s="15"/>
      <c r="P13" s="15"/>
      <c r="Q13" s="2"/>
      <c r="R13" s="2"/>
      <c r="S13" s="2"/>
      <c r="T13" s="2"/>
      <c r="U13" s="2"/>
      <c r="V13" s="2"/>
      <c r="W13" s="2"/>
      <c r="X13" s="2"/>
    </row>
    <row r="14" spans="1:24" ht="14" hidden="1">
      <c r="A14" s="30"/>
      <c r="B14" s="30"/>
      <c r="C14" s="30"/>
      <c r="D14" s="2"/>
      <c r="E14" s="2"/>
      <c r="F14" s="15"/>
      <c r="G14" s="15"/>
      <c r="H14" s="2"/>
      <c r="I14" s="2"/>
      <c r="J14" s="2"/>
      <c r="K14" s="2"/>
      <c r="L14" s="2"/>
      <c r="M14" s="2"/>
      <c r="N14" s="2"/>
      <c r="O14" s="15"/>
      <c r="P14" s="15"/>
      <c r="Q14" s="2"/>
      <c r="R14" s="2"/>
      <c r="S14" s="2"/>
      <c r="T14" s="2"/>
      <c r="U14" s="2"/>
      <c r="V14" s="2"/>
      <c r="W14" s="2"/>
      <c r="X14" s="2"/>
    </row>
    <row r="15" spans="1:24" ht="14" hidden="1">
      <c r="A15" s="30"/>
      <c r="B15" s="30"/>
      <c r="C15" s="30"/>
      <c r="D15" s="2"/>
      <c r="E15" s="2"/>
      <c r="F15" s="15"/>
      <c r="G15" s="15"/>
      <c r="H15" s="2"/>
      <c r="I15" s="2"/>
      <c r="J15" s="2"/>
      <c r="K15" s="2"/>
      <c r="L15" s="2"/>
      <c r="M15" s="2"/>
      <c r="N15" s="2"/>
      <c r="O15" s="15"/>
      <c r="P15" s="15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X21"/>
  <sheetViews>
    <sheetView showGridLines="0" zoomScale="75" zoomScaleNormal="75" workbookViewId="0">
      <pane xSplit="8" ySplit="7" topLeftCell="I8" activePane="bottomRight" state="frozen"/>
      <selection activeCell="A20" sqref="A20"/>
      <selection pane="topRight" activeCell="A20" sqref="A20"/>
      <selection pane="bottomLeft" activeCell="A20" sqref="A20"/>
      <selection pane="bottomRight" activeCell="I8" sqref="I8"/>
    </sheetView>
  </sheetViews>
  <sheetFormatPr defaultColWidth="0" defaultRowHeight="0" customHeight="1" zeroHeight="1"/>
  <cols>
    <col min="1" max="3" width="2.7265625" style="3" customWidth="1"/>
    <col min="4" max="4" width="9.7265625" style="3" customWidth="1"/>
    <col min="5" max="5" width="49.26953125" style="3" customWidth="1"/>
    <col min="6" max="6" width="15.81640625" style="32" customWidth="1"/>
    <col min="7" max="8" width="2.7265625" style="3" customWidth="1"/>
    <col min="9" max="21" width="9.7265625" style="3" customWidth="1"/>
    <col min="22" max="22" width="15.81640625" style="3" customWidth="1"/>
    <col min="23" max="16384" width="9.1796875" style="3" hidden="1"/>
  </cols>
  <sheetData>
    <row r="1" spans="1:24" ht="32.5">
      <c r="A1" s="1"/>
      <c r="B1" s="1"/>
      <c r="C1" s="1"/>
      <c r="D1" s="25" t="s">
        <v>211</v>
      </c>
      <c r="E1" s="25"/>
      <c r="F1" s="3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5"/>
      <c r="X1" s="15"/>
    </row>
    <row r="2" spans="1:24" ht="14">
      <c r="A2" s="2"/>
      <c r="B2" s="2"/>
      <c r="C2" s="2"/>
      <c r="D2" s="2"/>
      <c r="E2" s="2"/>
      <c r="G2" s="15"/>
      <c r="H2" s="2"/>
      <c r="I2" s="2"/>
      <c r="J2" s="2"/>
      <c r="K2" s="2"/>
      <c r="L2" s="2"/>
      <c r="M2" s="15"/>
      <c r="N2" s="15"/>
      <c r="O2" s="2"/>
      <c r="P2" s="2"/>
      <c r="Q2" s="2"/>
      <c r="R2" s="2"/>
      <c r="S2" s="2"/>
      <c r="T2" s="2"/>
      <c r="U2" s="2"/>
      <c r="V2" s="15"/>
      <c r="W2" s="15"/>
      <c r="X2" s="15"/>
    </row>
    <row r="3" spans="1:24" ht="13">
      <c r="A3" s="15"/>
      <c r="B3" s="15"/>
      <c r="C3" s="15"/>
      <c r="D3" s="15"/>
      <c r="E3" s="15" t="s">
        <v>57</v>
      </c>
      <c r="G3" s="15"/>
      <c r="H3" s="15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2"/>
      <c r="W3" s="15"/>
      <c r="X3" s="15"/>
    </row>
    <row r="4" spans="1:24" ht="13">
      <c r="A4" s="15"/>
      <c r="B4" s="15"/>
      <c r="C4" s="15"/>
      <c r="D4" s="15"/>
      <c r="E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2"/>
      <c r="W4" s="15"/>
      <c r="X4" s="15"/>
    </row>
    <row r="5" spans="1:24" ht="13">
      <c r="A5" s="15"/>
      <c r="B5" s="15"/>
      <c r="C5" s="15"/>
      <c r="D5" s="15"/>
      <c r="E5" s="15" t="s">
        <v>58</v>
      </c>
      <c r="G5" s="15"/>
      <c r="H5" s="15"/>
      <c r="I5" s="16">
        <f t="shared" ref="I5:U5" si="1">Calendar.Years</f>
        <v>2012</v>
      </c>
      <c r="J5" s="16">
        <f t="shared" si="1"/>
        <v>2013</v>
      </c>
      <c r="K5" s="16">
        <f t="shared" si="1"/>
        <v>2014</v>
      </c>
      <c r="L5" s="16">
        <f t="shared" si="1"/>
        <v>2015</v>
      </c>
      <c r="M5" s="16">
        <f t="shared" si="1"/>
        <v>2016</v>
      </c>
      <c r="N5" s="16">
        <f t="shared" si="1"/>
        <v>2017</v>
      </c>
      <c r="O5" s="16">
        <f t="shared" si="1"/>
        <v>2018</v>
      </c>
      <c r="P5" s="16">
        <f t="shared" si="1"/>
        <v>2019</v>
      </c>
      <c r="Q5" s="16">
        <f t="shared" si="1"/>
        <v>2020</v>
      </c>
      <c r="R5" s="16">
        <f t="shared" si="1"/>
        <v>2021</v>
      </c>
      <c r="S5" s="16">
        <f t="shared" si="1"/>
        <v>2022</v>
      </c>
      <c r="T5" s="16">
        <f t="shared" si="1"/>
        <v>2023</v>
      </c>
      <c r="U5" s="16">
        <f t="shared" si="1"/>
        <v>2024</v>
      </c>
      <c r="V5" s="12"/>
      <c r="W5" s="15"/>
      <c r="X5" s="15"/>
    </row>
    <row r="6" spans="1:24" ht="13">
      <c r="A6" s="15"/>
      <c r="B6" s="15"/>
      <c r="C6" s="15"/>
      <c r="D6" s="15"/>
      <c r="E6" s="15" t="s">
        <v>59</v>
      </c>
      <c r="G6" s="15"/>
      <c r="H6" s="15"/>
      <c r="I6" s="15"/>
      <c r="J6" s="15"/>
      <c r="K6" s="6"/>
      <c r="L6" s="110">
        <v>1</v>
      </c>
      <c r="M6" s="110">
        <v>2</v>
      </c>
      <c r="N6" s="110">
        <v>3</v>
      </c>
      <c r="O6" s="110">
        <v>4</v>
      </c>
      <c r="P6" s="110">
        <v>5</v>
      </c>
      <c r="Q6" s="110">
        <v>6</v>
      </c>
      <c r="R6" s="110">
        <v>7</v>
      </c>
      <c r="S6" s="110">
        <v>8</v>
      </c>
      <c r="T6" s="110">
        <v>9</v>
      </c>
      <c r="U6" s="110">
        <v>10</v>
      </c>
      <c r="V6" s="15"/>
      <c r="W6" s="15"/>
      <c r="X6" s="15"/>
    </row>
    <row r="7" spans="1:24" ht="12.5">
      <c r="A7" s="15"/>
      <c r="B7" s="15"/>
      <c r="C7" s="15"/>
      <c r="D7" s="15"/>
      <c r="E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1:24" s="7" customFormat="1" ht="14">
      <c r="A8" s="111"/>
      <c r="B8" s="8"/>
      <c r="C8" s="8"/>
      <c r="D8" s="115"/>
      <c r="E8" s="112" t="s">
        <v>212</v>
      </c>
      <c r="F8" s="113"/>
      <c r="G8" s="24"/>
      <c r="H8" s="24"/>
      <c r="I8" s="24"/>
      <c r="J8" s="24"/>
      <c r="K8" s="24"/>
      <c r="L8" s="26"/>
      <c r="M8" s="26"/>
      <c r="N8" s="26"/>
      <c r="O8" s="26"/>
      <c r="P8" s="26"/>
      <c r="Q8" s="26"/>
      <c r="R8" s="26"/>
      <c r="S8" s="26"/>
      <c r="T8" s="26"/>
      <c r="U8" s="26"/>
      <c r="V8" s="24"/>
      <c r="W8" s="24"/>
      <c r="X8" s="24"/>
    </row>
    <row r="9" spans="1:24" ht="12.5">
      <c r="A9" s="15"/>
      <c r="B9" s="15"/>
      <c r="C9" s="15"/>
      <c r="D9" s="15"/>
      <c r="E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ht="13">
      <c r="A10" s="15"/>
      <c r="B10" s="15"/>
      <c r="C10" s="15"/>
      <c r="D10" s="16" t="s">
        <v>81</v>
      </c>
      <c r="E10" s="28" t="s">
        <v>213</v>
      </c>
      <c r="F10" s="32" t="s">
        <v>96</v>
      </c>
      <c r="G10" s="15"/>
      <c r="H10" s="15"/>
      <c r="I10" s="15"/>
      <c r="J10" s="15"/>
      <c r="K10" s="15"/>
      <c r="L10" s="23"/>
      <c r="M10" s="23"/>
      <c r="N10" s="23"/>
      <c r="O10" s="23"/>
      <c r="P10" s="27">
        <f>WRFIM.Water</f>
        <v>-10.163778467375668</v>
      </c>
      <c r="Q10" s="15"/>
      <c r="R10" s="15"/>
      <c r="S10" s="15"/>
      <c r="T10" s="15"/>
      <c r="U10" s="15"/>
      <c r="V10" s="15"/>
      <c r="W10" s="15"/>
      <c r="X10" s="15"/>
    </row>
    <row r="11" spans="1:24" ht="12.5">
      <c r="A11" s="15"/>
      <c r="B11" s="15"/>
      <c r="C11" s="15"/>
      <c r="D11" s="15"/>
      <c r="E11" s="15"/>
      <c r="G11" s="15"/>
      <c r="H11" s="15"/>
      <c r="I11" s="15"/>
      <c r="J11" s="15"/>
      <c r="K11" s="15"/>
      <c r="L11" s="15"/>
      <c r="M11" s="15"/>
      <c r="N11" s="15"/>
      <c r="O11" s="15"/>
      <c r="P11" s="27"/>
      <c r="Q11" s="15"/>
      <c r="R11" s="15"/>
      <c r="S11" s="15"/>
      <c r="T11" s="15"/>
      <c r="U11" s="15"/>
      <c r="V11" s="15"/>
      <c r="W11" s="15"/>
      <c r="X11" s="15"/>
    </row>
    <row r="12" spans="1:24" ht="13">
      <c r="A12" s="15"/>
      <c r="B12" s="15"/>
      <c r="C12" s="15"/>
      <c r="D12" s="16" t="s">
        <v>81</v>
      </c>
      <c r="E12" s="28" t="s">
        <v>214</v>
      </c>
      <c r="F12" s="32" t="s">
        <v>96</v>
      </c>
      <c r="G12" s="15"/>
      <c r="H12" s="15"/>
      <c r="I12" s="15"/>
      <c r="J12" s="15"/>
      <c r="K12" s="15"/>
      <c r="L12" s="23"/>
      <c r="M12" s="23"/>
      <c r="N12" s="23"/>
      <c r="O12" s="23"/>
      <c r="P12" s="27">
        <f>WRFIM.Waste</f>
        <v>-5.0080854590200659</v>
      </c>
      <c r="Q12" s="15"/>
      <c r="R12" s="15"/>
      <c r="S12" s="15"/>
      <c r="T12" s="15"/>
      <c r="U12" s="15"/>
      <c r="V12" s="15"/>
      <c r="W12" s="15"/>
      <c r="X12" s="15"/>
    </row>
    <row r="13" spans="1:24" ht="13" thickBot="1">
      <c r="A13" s="15"/>
      <c r="B13" s="15"/>
      <c r="C13" s="15"/>
      <c r="D13" s="15"/>
      <c r="E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ht="13.5" thickBot="1">
      <c r="A14" s="10" t="s">
        <v>111</v>
      </c>
      <c r="B14" s="11"/>
      <c r="C14" s="11"/>
      <c r="D14" s="11"/>
      <c r="E14" s="11"/>
      <c r="F14" s="3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5"/>
      <c r="X14" s="15"/>
    </row>
    <row r="15" spans="1:24" ht="12.5">
      <c r="A15" s="15"/>
      <c r="B15" s="15"/>
      <c r="C15" s="15"/>
      <c r="D15" s="15"/>
      <c r="E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24" ht="12.75" hidden="1" customHeight="1">
      <c r="A16" s="15"/>
      <c r="B16" s="15"/>
      <c r="C16" s="15"/>
      <c r="D16" s="15"/>
      <c r="E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</sheetData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690e724-35e2-4ff9-9ee3-59e3ab19558a">
      <Terms xmlns="http://schemas.microsoft.com/office/infopath/2007/PartnerControls"/>
    </lcf76f155ced4ddcb4097134ff3c332f>
    <TaxCatchAll xmlns="75e05205-f2e1-4168-9176-3cea1311c6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0F0D76AF2D5F47B2C25358B15E27EF" ma:contentTypeVersion="20" ma:contentTypeDescription="Create a new document." ma:contentTypeScope="" ma:versionID="7673b341e3fe46b430a3a79d13298322">
  <xsd:schema xmlns:xsd="http://www.w3.org/2001/XMLSchema" xmlns:xs="http://www.w3.org/2001/XMLSchema" xmlns:p="http://schemas.microsoft.com/office/2006/metadata/properties" xmlns:ns1="http://schemas.microsoft.com/sharepoint/v3" xmlns:ns2="9690e724-35e2-4ff9-9ee3-59e3ab19558a" xmlns:ns3="05c3d349-d7b5-4b99-a759-edf8a89fca83" xmlns:ns4="75e05205-f2e1-4168-9176-3cea1311c638" targetNamespace="http://schemas.microsoft.com/office/2006/metadata/properties" ma:root="true" ma:fieldsID="8ba650d8cea5f8689685be5abaa95e84" ns1:_="" ns2:_="" ns3:_="" ns4:_="">
    <xsd:import namespace="http://schemas.microsoft.com/sharepoint/v3"/>
    <xsd:import namespace="9690e724-35e2-4ff9-9ee3-59e3ab19558a"/>
    <xsd:import namespace="05c3d349-d7b5-4b99-a759-edf8a89fca83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0e724-35e2-4ff9-9ee3-59e3ab1955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3d349-d7b5-4b99-a759-edf8a89fca8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eebdce34-1607-4299-9c29-45a1573d8ca5}" ma:internalName="TaxCatchAll" ma:showField="CatchAllData" ma:web="05c3d349-d7b5-4b99-a759-edf8a89fc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A72900-0A91-41D5-8D96-2428E2E5AE71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05c3d349-d7b5-4b99-a759-edf8a89fca83"/>
    <ds:schemaRef ds:uri="http://schemas.microsoft.com/office/2006/documentManagement/types"/>
    <ds:schemaRef ds:uri="http://purl.org/dc/dcmitype/"/>
    <ds:schemaRef ds:uri="75e05205-f2e1-4168-9176-3cea1311c638"/>
    <ds:schemaRef ds:uri="9690e724-35e2-4ff9-9ee3-59e3ab19558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ADCE185-5B27-4937-9BF4-2F4D7B04AA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F02E53-B38B-4720-B619-C7802C028E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690e724-35e2-4ff9-9ee3-59e3ab19558a"/>
    <ds:schemaRef ds:uri="05c3d349-d7b5-4b99-a759-edf8a89fca83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43</vt:i4>
      </vt:variant>
    </vt:vector>
  </HeadingPairs>
  <TitlesOfParts>
    <vt:vector size="54" baseType="lpstr">
      <vt:lpstr>Change Log</vt:lpstr>
      <vt:lpstr>Inputs &gt;</vt:lpstr>
      <vt:lpstr>Data</vt:lpstr>
      <vt:lpstr>RPI</vt:lpstr>
      <vt:lpstr>Calcs &gt;</vt:lpstr>
      <vt:lpstr>WRFIM - Water</vt:lpstr>
      <vt:lpstr>WRFIM - Waste</vt:lpstr>
      <vt:lpstr>Output &gt;</vt:lpstr>
      <vt:lpstr>WFRIM adjustments</vt:lpstr>
      <vt:lpstr>Other &gt;</vt:lpstr>
      <vt:lpstr>Timeline</vt:lpstr>
      <vt:lpstr>Additional.Analysis</vt:lpstr>
      <vt:lpstr>Adj.AllRev.Waste</vt:lpstr>
      <vt:lpstr>Adj.AllRev.Water</vt:lpstr>
      <vt:lpstr>AllRev.Outturn.Waste</vt:lpstr>
      <vt:lpstr>AllRev.Outturn.Water</vt:lpstr>
      <vt:lpstr>AllRev.Waste</vt:lpstr>
      <vt:lpstr>AllRev.Water</vt:lpstr>
      <vt:lpstr>AMP.Years</vt:lpstr>
      <vt:lpstr>AMP5.RCM.Adj.Waste</vt:lpstr>
      <vt:lpstr>AMP5.RCM.Adj.Water</vt:lpstr>
      <vt:lpstr>AMP6.FI.Adj.Waste</vt:lpstr>
      <vt:lpstr>AMP6.FI.Adj.Water</vt:lpstr>
      <vt:lpstr>Baseline.AllRev.Waste</vt:lpstr>
      <vt:lpstr>Baseline.AllRev.Water</vt:lpstr>
      <vt:lpstr>BlindYear.1415.Adj.Waste</vt:lpstr>
      <vt:lpstr>BlindYear.1415.Adj.Water</vt:lpstr>
      <vt:lpstr>Calendar.Years</vt:lpstr>
      <vt:lpstr>Discount.Rate</vt:lpstr>
      <vt:lpstr>Indexation.Average</vt:lpstr>
      <vt:lpstr>Indexation.Average.Override</vt:lpstr>
      <vt:lpstr>Indexation.Check</vt:lpstr>
      <vt:lpstr>Indexation.November</vt:lpstr>
      <vt:lpstr>Indexation.November.Actual</vt:lpstr>
      <vt:lpstr>Indexation.November.Actual.Override</vt:lpstr>
      <vt:lpstr>Indexation.November.Actual.YearOnYear</vt:lpstr>
      <vt:lpstr>Indexation.November.Override</vt:lpstr>
      <vt:lpstr>Inflation.Yearly.Average</vt:lpstr>
      <vt:lpstr>K.Waste</vt:lpstr>
      <vt:lpstr>K.Water</vt:lpstr>
      <vt:lpstr>Penalty.Rate.General</vt:lpstr>
      <vt:lpstr>Perc.Recovered.Waste</vt:lpstr>
      <vt:lpstr>Perc.Recovered.Water</vt:lpstr>
      <vt:lpstr>RPI!Print_Area</vt:lpstr>
      <vt:lpstr>'WRFIM - Waste'!Print_Area</vt:lpstr>
      <vt:lpstr>'WRFIM - Water'!Print_Area</vt:lpstr>
      <vt:lpstr>RCM.BlindYear.Adj.Waste</vt:lpstr>
      <vt:lpstr>RCM.BlindYear.Adj.Water</vt:lpstr>
      <vt:lpstr>RecRev.Waste</vt:lpstr>
      <vt:lpstr>RecRev.Water</vt:lpstr>
      <vt:lpstr>Threshold.Max</vt:lpstr>
      <vt:lpstr>Threshold.Min</vt:lpstr>
      <vt:lpstr>WRFIM.Waste</vt:lpstr>
      <vt:lpstr>WRFIM.Water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2024-11-05T14:12:28Z</dcterms:created>
  <dcterms:modified xsi:type="dcterms:W3CDTF">2024-12-17T16:09:23Z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0x010100390F0D76AF2D5F47B2C25358B15E27EF</vt:lpwstr>
  </property>
</Properties>
</file>